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roundrocktexas-my.sharepoint.com/personal/jbrooks_roundrocktexas_gov/Documents/Documents/"/>
    </mc:Choice>
  </mc:AlternateContent>
  <xr:revisionPtr revIDLastSave="0" documentId="8_{5E432B70-B57F-49E4-9421-C6A0C0B41874}" xr6:coauthVersionLast="47" xr6:coauthVersionMax="47" xr10:uidLastSave="{00000000-0000-0000-0000-000000000000}"/>
  <bookViews>
    <workbookView xWindow="-26850" yWindow="1395" windowWidth="24930" windowHeight="14805" activeTab="2" xr2:uid="{00000000-000D-0000-FFFF-FFFF00000000}"/>
  </bookViews>
  <sheets>
    <sheet name="Equations" sheetId="3" r:id="rId1"/>
    <sheet name="LUE" sheetId="1" r:id="rId2"/>
    <sheet name="Capacity" sheetId="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 i="2" l="1"/>
  <c r="W4" i="2"/>
  <c r="W5" i="2"/>
  <c r="W6" i="2"/>
  <c r="W7" i="2"/>
  <c r="W8" i="2"/>
  <c r="W9" i="2"/>
  <c r="W10" i="2"/>
  <c r="W11" i="2"/>
  <c r="W2" i="2"/>
  <c r="U3" i="2"/>
  <c r="U4" i="2"/>
  <c r="U5" i="2"/>
  <c r="U6" i="2"/>
  <c r="U7" i="2"/>
  <c r="U8" i="2"/>
  <c r="U9" i="2"/>
  <c r="U10" i="2"/>
  <c r="U11" i="2"/>
  <c r="U2" i="2"/>
  <c r="M2" i="2"/>
  <c r="L17" i="3" l="1"/>
  <c r="L16" i="3"/>
  <c r="P7" i="3"/>
  <c r="N6" i="3"/>
  <c r="H2" i="2" l="1"/>
  <c r="G3" i="2"/>
  <c r="G4" i="2"/>
  <c r="G5" i="2"/>
  <c r="G6" i="2"/>
  <c r="G7" i="2"/>
  <c r="G8" i="2"/>
  <c r="G9" i="2"/>
  <c r="G10" i="2"/>
  <c r="G11" i="2"/>
  <c r="G12" i="2"/>
  <c r="G2" i="2"/>
  <c r="L3" i="2"/>
  <c r="F2" i="2"/>
  <c r="R2" i="2" l="1"/>
  <c r="S2" i="2" s="1"/>
  <c r="T2" i="2" s="1"/>
  <c r="F3" i="2"/>
  <c r="H3" i="2" s="1"/>
  <c r="F4" i="2"/>
  <c r="F5" i="2"/>
  <c r="F6" i="2"/>
  <c r="F7" i="2"/>
  <c r="F8" i="2"/>
  <c r="F9" i="2"/>
  <c r="F10" i="2"/>
  <c r="F11" i="2"/>
  <c r="F12" i="2"/>
  <c r="N2" i="2"/>
  <c r="O2" i="2" s="1"/>
  <c r="M12" i="2" l="1"/>
  <c r="M11" i="2"/>
  <c r="N11" i="2" s="1"/>
  <c r="O11" i="2" s="1"/>
  <c r="M10" i="2"/>
  <c r="M9" i="2"/>
  <c r="L9" i="2"/>
  <c r="P9" i="2" s="1"/>
  <c r="M8" i="2"/>
  <c r="L8" i="2"/>
  <c r="P8" i="2" s="1"/>
  <c r="M7" i="2"/>
  <c r="L7" i="2"/>
  <c r="P7" i="2" s="1"/>
  <c r="M6" i="2"/>
  <c r="N6" i="2" s="1"/>
  <c r="O6" i="2" s="1"/>
  <c r="L6" i="2"/>
  <c r="P6" i="2" s="1"/>
  <c r="M5" i="2"/>
  <c r="M4" i="2"/>
  <c r="L4" i="2"/>
  <c r="P4" i="2" s="1"/>
  <c r="M3" i="2"/>
  <c r="N3" i="2" s="1"/>
  <c r="P3" i="2"/>
  <c r="P2" i="2"/>
  <c r="Q2" i="2" s="1"/>
  <c r="L12" i="2"/>
  <c r="P12" i="2" s="1"/>
  <c r="L11" i="2"/>
  <c r="P11" i="2" s="1"/>
  <c r="L10" i="2"/>
  <c r="P10" i="2" s="1"/>
  <c r="L5" i="2"/>
  <c r="P5" i="2" s="1"/>
  <c r="I2" i="1"/>
  <c r="G8" i="1"/>
  <c r="G9" i="1"/>
  <c r="G10" i="1"/>
  <c r="G11" i="1"/>
  <c r="G12" i="1"/>
  <c r="G7" i="1"/>
  <c r="G6" i="1"/>
  <c r="G4" i="1"/>
  <c r="G3" i="1"/>
  <c r="G2" i="1"/>
  <c r="H12" i="2"/>
  <c r="R12" i="2" s="1"/>
  <c r="S12" i="2" s="1"/>
  <c r="O3" i="2"/>
  <c r="T12" i="2" l="1"/>
  <c r="U12" i="2" s="1"/>
  <c r="V12" i="2"/>
  <c r="W12" i="2" s="1"/>
  <c r="N5" i="2"/>
  <c r="O5" i="2" s="1"/>
  <c r="N7" i="2"/>
  <c r="O7" i="2" s="1"/>
  <c r="N8" i="2"/>
  <c r="O8" i="2" s="1"/>
  <c r="N9" i="2"/>
  <c r="O9" i="2" s="1"/>
  <c r="N10" i="2"/>
  <c r="O10" i="2" s="1"/>
  <c r="N4" i="2"/>
  <c r="O4" i="2" s="1"/>
  <c r="N12" i="2"/>
  <c r="O12" i="2" s="1"/>
  <c r="H2" i="1"/>
  <c r="R3" i="2"/>
  <c r="S3" i="2" s="1"/>
  <c r="T3" i="2" s="1"/>
  <c r="Q3" i="2"/>
  <c r="Q6" i="2"/>
  <c r="Q11" i="2"/>
  <c r="H11" i="2"/>
  <c r="H10" i="2"/>
  <c r="H9" i="2"/>
  <c r="H8" i="2"/>
  <c r="H7" i="2"/>
  <c r="H6" i="2"/>
  <c r="H5" i="2"/>
  <c r="H4" i="2"/>
  <c r="Q9" i="2" l="1"/>
  <c r="Q8" i="2"/>
  <c r="Q7" i="2"/>
  <c r="Q4" i="2"/>
  <c r="Q10" i="2"/>
  <c r="Q12" i="2"/>
  <c r="Q5" i="2"/>
  <c r="V2" i="2"/>
  <c r="R9" i="2"/>
  <c r="S9" i="2" s="1"/>
  <c r="R4" i="2"/>
  <c r="S4" i="2" s="1"/>
  <c r="V4" i="2" s="1"/>
  <c r="R10" i="2"/>
  <c r="S10" i="2" s="1"/>
  <c r="R5" i="2"/>
  <c r="S5" i="2" s="1"/>
  <c r="R11" i="2"/>
  <c r="S11" i="2" s="1"/>
  <c r="R6" i="2"/>
  <c r="S6" i="2" s="1"/>
  <c r="R7" i="2"/>
  <c r="S7" i="2" s="1"/>
  <c r="R8" i="2"/>
  <c r="S8" i="2" s="1"/>
  <c r="V8" i="2" s="1"/>
  <c r="V3" i="2"/>
  <c r="V11" i="2" l="1"/>
  <c r="T11" i="2"/>
  <c r="V7" i="2"/>
  <c r="T7" i="2"/>
  <c r="T6" i="2"/>
  <c r="V6" i="2"/>
  <c r="T9" i="2"/>
  <c r="V9" i="2"/>
  <c r="V5" i="2"/>
  <c r="T5" i="2"/>
  <c r="V10" i="2"/>
  <c r="T10" i="2"/>
  <c r="T4" i="2"/>
  <c r="T8" i="2"/>
</calcChain>
</file>

<file path=xl/sharedStrings.xml><?xml version="1.0" encoding="utf-8"?>
<sst xmlns="http://schemas.openxmlformats.org/spreadsheetml/2006/main" count="145" uniqueCount="110">
  <si>
    <t>Equations</t>
  </si>
  <si>
    <t>Givens</t>
  </si>
  <si>
    <t>Inflow Infiltration Rate =</t>
  </si>
  <si>
    <t xml:space="preserve"> gal/ac/day</t>
  </si>
  <si>
    <t>One (1) day =</t>
  </si>
  <si>
    <t xml:space="preserve"> min</t>
  </si>
  <si>
    <t># persons per LUE</t>
  </si>
  <si>
    <t xml:space="preserve"> People/LUE</t>
  </si>
  <si>
    <t>1 Household (LUE) per day</t>
  </si>
  <si>
    <t xml:space="preserve"> Person/LUE/min</t>
  </si>
  <si>
    <t>Average # gallons/person/day</t>
  </si>
  <si>
    <t xml:space="preserve"> gal/person/day</t>
  </si>
  <si>
    <t xml:space="preserve"> gal/person/min</t>
  </si>
  <si>
    <t>1 square foot</t>
  </si>
  <si>
    <t xml:space="preserve"> acre</t>
  </si>
  <si>
    <t>1 acre</t>
  </si>
  <si>
    <t xml:space="preserve"> SF</t>
  </si>
  <si>
    <t>1 gal</t>
  </si>
  <si>
    <t>ft cubed</t>
  </si>
  <si>
    <t>Area</t>
  </si>
  <si>
    <t>Property</t>
  </si>
  <si>
    <t>Property Size (ac)</t>
  </si>
  <si>
    <t>Land Use</t>
  </si>
  <si>
    <t>Size</t>
  </si>
  <si>
    <t>LUE Conversion Factor</t>
  </si>
  <si>
    <t>Total # of LUEs per Property</t>
  </si>
  <si>
    <t>Total LUEs</t>
  </si>
  <si>
    <t>Total Acres</t>
  </si>
  <si>
    <t>A</t>
  </si>
  <si>
    <t>A1</t>
  </si>
  <si>
    <t>Church</t>
  </si>
  <si>
    <t>500 Seats</t>
  </si>
  <si>
    <t>1 LUE per 70 Seats</t>
  </si>
  <si>
    <t>B</t>
  </si>
  <si>
    <t>B1</t>
  </si>
  <si>
    <t>School</t>
  </si>
  <si>
    <t>80 Students</t>
  </si>
  <si>
    <t>1 LUE per 13 Students</t>
  </si>
  <si>
    <t>B2</t>
  </si>
  <si>
    <t>560 Seats</t>
  </si>
  <si>
    <t>B3</t>
  </si>
  <si>
    <t>Apartments</t>
  </si>
  <si>
    <t>300 Units</t>
  </si>
  <si>
    <t>0.5 LUEs per Unit</t>
  </si>
  <si>
    <t>C</t>
  </si>
  <si>
    <t>C1</t>
  </si>
  <si>
    <t xml:space="preserve">Office </t>
  </si>
  <si>
    <t>30,000 sqft</t>
  </si>
  <si>
    <t>1 LUE per 3000 sqft</t>
  </si>
  <si>
    <t>C2</t>
  </si>
  <si>
    <t>Warehouse</t>
  </si>
  <si>
    <t>24,560 sqft</t>
  </si>
  <si>
    <t>1 LUE per 4000 sqft</t>
  </si>
  <si>
    <t>D</t>
  </si>
  <si>
    <t>D1</t>
  </si>
  <si>
    <t>11,530 sqft</t>
  </si>
  <si>
    <t>D2</t>
  </si>
  <si>
    <t>Office</t>
  </si>
  <si>
    <t>8,110 sqft</t>
  </si>
  <si>
    <t>D3</t>
  </si>
  <si>
    <t>6,770 sqft</t>
  </si>
  <si>
    <t>E</t>
  </si>
  <si>
    <t>E1</t>
  </si>
  <si>
    <t xml:space="preserve"> 10,400 sqft</t>
  </si>
  <si>
    <t>E2</t>
  </si>
  <si>
    <t>3,400 sqft</t>
  </si>
  <si>
    <t>1 LUE pe 3000 sqft</t>
  </si>
  <si>
    <t>Pipe #</t>
  </si>
  <si>
    <t>Upstream Manhole UID</t>
  </si>
  <si>
    <t>Downstream Manhole UID</t>
  </si>
  <si>
    <t>Pipe Size (in)</t>
  </si>
  <si>
    <t>Pipe Length (ft)</t>
  </si>
  <si>
    <t>Pipe Area (ft^2)</t>
  </si>
  <si>
    <t>Wet Perimeter (ft)</t>
  </si>
  <si>
    <t>Hydraulic Radius (ft)</t>
  </si>
  <si>
    <t>Pipe Slope (%)</t>
  </si>
  <si>
    <t>Pipe Slope Source</t>
  </si>
  <si>
    <t>Contributing Areas</t>
  </si>
  <si>
    <t>Total Area (AC)</t>
  </si>
  <si>
    <t>ADWF (gpm)</t>
  </si>
  <si>
    <t>PDWF (gpm)</t>
  </si>
  <si>
    <t>I&amp;I (gpm)</t>
  </si>
  <si>
    <t>PWWF (gpm)</t>
  </si>
  <si>
    <t>Velocity (ft/s)</t>
  </si>
  <si>
    <t>Full Flow (gpm)</t>
  </si>
  <si>
    <t>65% Full Flow
(gpm)</t>
  </si>
  <si>
    <t>Is PDWF Acceptable (65% full flow) or Exceeding?</t>
  </si>
  <si>
    <t>Is PWWF Acceptable (85% full flow) or Exceeding?</t>
  </si>
  <si>
    <t>m1 (1433857)</t>
  </si>
  <si>
    <t>m2 (1433812)</t>
  </si>
  <si>
    <t>A1,B3,B2,C1</t>
  </si>
  <si>
    <t>m3 (1433813)</t>
  </si>
  <si>
    <t>A,B,C</t>
  </si>
  <si>
    <t>m3(1433813)</t>
  </si>
  <si>
    <t>m4 (1433850)</t>
  </si>
  <si>
    <t>m5 (1433851)</t>
  </si>
  <si>
    <t>Asbuilt</t>
  </si>
  <si>
    <t>m6 (1433852)</t>
  </si>
  <si>
    <t>A,B,C,E2</t>
  </si>
  <si>
    <t>m7 (1433853)</t>
  </si>
  <si>
    <t>A,B,C,D,E2</t>
  </si>
  <si>
    <t>m8 (1433857)</t>
  </si>
  <si>
    <t>A,B,C,D,E</t>
  </si>
  <si>
    <t>m9 (1433855)</t>
  </si>
  <si>
    <t>m10 (1433856)</t>
  </si>
  <si>
    <t>m11 (1432085)</t>
  </si>
  <si>
    <t>m12 (1436930)</t>
  </si>
  <si>
    <t>Survey</t>
  </si>
  <si>
    <t>85% Full Flow*  (gpm)</t>
  </si>
  <si>
    <t xml:space="preserve">* For sewer mains eighteen (18) inches in diameter or larger, the main shall be designed such that the PWWF shall not exceed eighty (80) percent of the capacity of the pipe flowing full.  Full flow shall mean the capacity of a pipe that has a depth of flow equal to the pipe diameter, and the hydraulic grade is at the inside top of the pipe.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</si>
</sst>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000"/>
    <numFmt numFmtId="165" formatCode="#,##0.0"/>
    <numFmt numFmtId="166" formatCode="#,##0.0000"/>
    <numFmt numFmtId="167" formatCode="0.0"/>
    <numFmt numFmtId="168" formatCode="0.000"/>
    <numFmt numFmtId="169" formatCode="#,##0&quot;*&quot;"/>
    <numFmt numFmtId="170" formatCode="0&quot;*&quot;"/>
  </numFmts>
  <fonts count="11" x14ac:knownFonts="1">
    <font>
      <sz val="11"/>
      <color theme="1"/>
      <name val="Calibri"/>
      <family val="2"/>
      <scheme val="minor"/>
    </font>
    <font>
      <b/>
      <sz val="11"/>
      <color theme="1"/>
      <name val="Calibri"/>
      <family val="2"/>
      <scheme val="minor"/>
    </font>
    <font>
      <sz val="11"/>
      <color theme="1"/>
      <name val="Calibri"/>
      <family val="2"/>
      <scheme val="minor"/>
    </font>
    <font>
      <sz val="11"/>
      <name val="Calibri"/>
      <family val="2"/>
      <scheme val="minor"/>
    </font>
    <font>
      <sz val="8"/>
      <name val="Calibri"/>
      <family val="2"/>
      <scheme val="minor"/>
    </font>
    <font>
      <sz val="11"/>
      <color rgb="FF333333"/>
      <name val="Calibri"/>
      <family val="2"/>
      <scheme val="minor"/>
    </font>
    <font>
      <b/>
      <sz val="11"/>
      <color rgb="FFFF0000"/>
      <name val="Arial"/>
      <family val="2"/>
    </font>
    <font>
      <sz val="11"/>
      <color rgb="FFFF0000"/>
      <name val="Arial"/>
      <family val="2"/>
    </font>
    <font>
      <sz val="11"/>
      <color theme="0" tint="-0.14999847407452621"/>
      <name val="Calibri"/>
      <family val="2"/>
      <scheme val="minor"/>
    </font>
    <font>
      <b/>
      <sz val="14"/>
      <color theme="1"/>
      <name val="Calibri"/>
      <family val="2"/>
      <scheme val="minor"/>
    </font>
    <font>
      <b/>
      <sz val="14"/>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right/>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s>
  <cellStyleXfs count="2">
    <xf numFmtId="0" fontId="0" fillId="0" borderId="0"/>
    <xf numFmtId="9" fontId="2" fillId="0" borderId="0" applyFont="0" applyFill="0" applyBorder="0" applyAlignment="0" applyProtection="0"/>
  </cellStyleXfs>
  <cellXfs count="103">
    <xf numFmtId="0" fontId="0" fillId="0" borderId="0" xfId="0"/>
    <xf numFmtId="0" fontId="1" fillId="0" borderId="0" xfId="0" applyFont="1"/>
    <xf numFmtId="10" fontId="0" fillId="0" borderId="0" xfId="1" applyNumberFormat="1" applyFont="1"/>
    <xf numFmtId="0" fontId="0" fillId="0" borderId="1" xfId="0" applyBorder="1" applyAlignment="1">
      <alignment horizontal="center" vertical="center"/>
    </xf>
    <xf numFmtId="0" fontId="0" fillId="0" borderId="1" xfId="0" applyBorder="1" applyAlignment="1">
      <alignment horizontal="center" vertical="center" wrapText="1"/>
    </xf>
    <xf numFmtId="2" fontId="0" fillId="0" borderId="1" xfId="0" applyNumberFormat="1" applyBorder="1" applyAlignment="1">
      <alignment horizontal="center" vertical="center" wrapText="1"/>
    </xf>
    <xf numFmtId="2" fontId="0" fillId="0" borderId="2" xfId="0" applyNumberFormat="1" applyBorder="1" applyAlignment="1">
      <alignment horizontal="center" vertical="center" wrapText="1"/>
    </xf>
    <xf numFmtId="10" fontId="0" fillId="0" borderId="2" xfId="1" applyNumberFormat="1" applyFont="1" applyBorder="1" applyAlignment="1">
      <alignment horizontal="center" vertical="center" wrapText="1"/>
    </xf>
    <xf numFmtId="0" fontId="0" fillId="0" borderId="2" xfId="0" applyBorder="1" applyAlignment="1">
      <alignment horizontal="center" vertical="center" wrapText="1"/>
    </xf>
    <xf numFmtId="10" fontId="0" fillId="0" borderId="1" xfId="1" applyNumberFormat="1" applyFont="1" applyBorder="1" applyAlignment="1">
      <alignment horizontal="center" vertical="center" wrapText="1"/>
    </xf>
    <xf numFmtId="0" fontId="1" fillId="2" borderId="3" xfId="0" applyFont="1" applyFill="1" applyBorder="1" applyAlignment="1">
      <alignment horizontal="center" vertical="center" wrapText="1"/>
    </xf>
    <xf numFmtId="10" fontId="1" fillId="2" borderId="3" xfId="1" applyNumberFormat="1" applyFont="1" applyFill="1" applyBorder="1" applyAlignment="1">
      <alignment horizontal="center" vertical="center" wrapText="1"/>
    </xf>
    <xf numFmtId="3" fontId="0" fillId="0" borderId="1" xfId="0" applyNumberFormat="1" applyBorder="1" applyAlignment="1">
      <alignment horizontal="center" vertical="center"/>
    </xf>
    <xf numFmtId="0" fontId="0" fillId="0" borderId="1" xfId="0" applyBorder="1" applyAlignment="1">
      <alignment horizontal="center"/>
    </xf>
    <xf numFmtId="10" fontId="0" fillId="0" borderId="1" xfId="1" applyNumberFormat="1" applyFont="1" applyBorder="1" applyAlignment="1">
      <alignment horizontal="center"/>
    </xf>
    <xf numFmtId="2" fontId="0" fillId="0" borderId="2" xfId="0" applyNumberFormat="1" applyBorder="1" applyAlignment="1">
      <alignment horizontal="center" vertical="center"/>
    </xf>
    <xf numFmtId="2" fontId="0" fillId="0" borderId="1" xfId="0" applyNumberFormat="1" applyBorder="1" applyAlignment="1">
      <alignment horizontal="center" vertical="center"/>
    </xf>
    <xf numFmtId="2" fontId="5" fillId="0" borderId="1" xfId="0" applyNumberFormat="1" applyFont="1" applyBorder="1" applyAlignment="1">
      <alignment horizontal="center" vertical="center"/>
    </xf>
    <xf numFmtId="1" fontId="0" fillId="0" borderId="1" xfId="0" applyNumberFormat="1" applyBorder="1" applyAlignment="1">
      <alignment horizontal="center" vertical="center"/>
    </xf>
    <xf numFmtId="4" fontId="0" fillId="0" borderId="0" xfId="0" applyNumberFormat="1"/>
    <xf numFmtId="0" fontId="6" fillId="0" borderId="0" xfId="0" applyFont="1"/>
    <xf numFmtId="0" fontId="7" fillId="0" borderId="0" xfId="0" applyFont="1"/>
    <xf numFmtId="1" fontId="0" fillId="0" borderId="1" xfId="0" applyNumberFormat="1" applyBorder="1" applyAlignment="1">
      <alignment horizontal="center" vertical="center" wrapText="1"/>
    </xf>
    <xf numFmtId="1" fontId="3" fillId="0" borderId="1" xfId="0" applyNumberFormat="1" applyFont="1" applyBorder="1" applyAlignment="1">
      <alignment horizontal="center" vertical="center" wrapText="1"/>
    </xf>
    <xf numFmtId="2" fontId="0" fillId="0" borderId="1" xfId="0" applyNumberFormat="1" applyBorder="1" applyAlignment="1">
      <alignment horizontal="center"/>
    </xf>
    <xf numFmtId="1" fontId="3" fillId="0" borderId="1" xfId="0" applyNumberFormat="1" applyFont="1" applyBorder="1" applyAlignment="1">
      <alignment horizontal="center"/>
    </xf>
    <xf numFmtId="1" fontId="0" fillId="0" borderId="2" xfId="0" applyNumberFormat="1" applyBorder="1" applyAlignment="1">
      <alignment horizontal="center" vertical="center" wrapText="1"/>
    </xf>
    <xf numFmtId="3" fontId="3" fillId="3" borderId="6" xfId="0" applyNumberFormat="1" applyFont="1" applyFill="1" applyBorder="1" applyAlignment="1">
      <alignment horizontal="right"/>
    </xf>
    <xf numFmtId="1" fontId="0" fillId="0" borderId="1" xfId="0" applyNumberFormat="1" applyBorder="1" applyAlignment="1">
      <alignment horizontal="center"/>
    </xf>
    <xf numFmtId="0" fontId="0" fillId="3" borderId="2" xfId="0" applyFill="1" applyBorder="1" applyAlignment="1">
      <alignment horizontal="center" vertical="center" wrapText="1"/>
    </xf>
    <xf numFmtId="0" fontId="0" fillId="0" borderId="2" xfId="0" applyBorder="1" applyAlignment="1">
      <alignment horizontal="center" vertical="center"/>
    </xf>
    <xf numFmtId="1" fontId="0" fillId="0" borderId="2" xfId="0" applyNumberFormat="1" applyBorder="1" applyAlignment="1">
      <alignment horizontal="center" vertical="center"/>
    </xf>
    <xf numFmtId="3" fontId="0" fillId="0" borderId="1" xfId="0" applyNumberFormat="1" applyBorder="1" applyAlignment="1">
      <alignment horizontal="center" vertical="center" wrapText="1"/>
    </xf>
    <xf numFmtId="3" fontId="3" fillId="3" borderId="7" xfId="0" applyNumberFormat="1" applyFont="1" applyFill="1" applyBorder="1" applyAlignment="1">
      <alignment horizontal="right"/>
    </xf>
    <xf numFmtId="165" fontId="3" fillId="3" borderId="7" xfId="0" applyNumberFormat="1" applyFont="1" applyFill="1" applyBorder="1" applyAlignment="1">
      <alignment horizontal="right"/>
    </xf>
    <xf numFmtId="166" fontId="3" fillId="3" borderId="7" xfId="0" applyNumberFormat="1" applyFont="1" applyFill="1" applyBorder="1" applyAlignment="1">
      <alignment horizontal="right"/>
    </xf>
    <xf numFmtId="164" fontId="3" fillId="3" borderId="6" xfId="0" applyNumberFormat="1" applyFont="1" applyFill="1" applyBorder="1" applyAlignment="1">
      <alignment horizontal="right"/>
    </xf>
    <xf numFmtId="11" fontId="3" fillId="3" borderId="7" xfId="0" applyNumberFormat="1" applyFont="1" applyFill="1" applyBorder="1" applyAlignment="1">
      <alignment horizontal="right"/>
    </xf>
    <xf numFmtId="0" fontId="3" fillId="3" borderId="7" xfId="0" applyFont="1" applyFill="1" applyBorder="1"/>
    <xf numFmtId="0" fontId="0" fillId="3" borderId="0" xfId="0" applyFill="1"/>
    <xf numFmtId="164" fontId="3" fillId="3" borderId="0" xfId="0" applyNumberFormat="1" applyFont="1" applyFill="1" applyAlignment="1">
      <alignment horizontal="left"/>
    </xf>
    <xf numFmtId="164" fontId="3" fillId="3" borderId="0" xfId="0" applyNumberFormat="1" applyFont="1" applyFill="1"/>
    <xf numFmtId="0" fontId="3" fillId="3" borderId="0" xfId="0" applyFont="1" applyFill="1" applyAlignment="1">
      <alignment horizontal="left"/>
    </xf>
    <xf numFmtId="164" fontId="3" fillId="0" borderId="0" xfId="0" applyNumberFormat="1" applyFont="1" applyAlignment="1">
      <alignment horizontal="left"/>
    </xf>
    <xf numFmtId="164" fontId="3" fillId="0" borderId="0" xfId="0" applyNumberFormat="1" applyFont="1"/>
    <xf numFmtId="3" fontId="3" fillId="0" borderId="0" xfId="0" applyNumberFormat="1" applyFont="1" applyAlignment="1">
      <alignment horizontal="right"/>
    </xf>
    <xf numFmtId="0" fontId="3" fillId="0" borderId="0" xfId="0" applyFont="1" applyAlignment="1">
      <alignment horizontal="left"/>
    </xf>
    <xf numFmtId="0" fontId="0" fillId="3" borderId="8" xfId="0" applyFill="1" applyBorder="1"/>
    <xf numFmtId="0" fontId="0" fillId="3" borderId="9" xfId="0" applyFill="1" applyBorder="1"/>
    <xf numFmtId="0" fontId="0" fillId="3" borderId="10" xfId="0" applyFill="1" applyBorder="1"/>
    <xf numFmtId="0" fontId="0" fillId="3" borderId="6" xfId="0" applyFill="1" applyBorder="1"/>
    <xf numFmtId="0" fontId="0" fillId="3" borderId="11" xfId="0" applyFill="1" applyBorder="1"/>
    <xf numFmtId="0" fontId="1"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6"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0" fillId="0" borderId="18" xfId="0" applyBorder="1" applyAlignment="1">
      <alignment horizontal="center" vertical="center"/>
    </xf>
    <xf numFmtId="0" fontId="0" fillId="0" borderId="25" xfId="0" applyBorder="1" applyAlignment="1">
      <alignment horizontal="center" vertical="center"/>
    </xf>
    <xf numFmtId="2" fontId="0" fillId="0" borderId="25" xfId="0" applyNumberFormat="1" applyBorder="1" applyAlignment="1">
      <alignment horizontal="center" vertical="center"/>
    </xf>
    <xf numFmtId="3" fontId="0" fillId="0" borderId="25" xfId="0" applyNumberFormat="1" applyBorder="1" applyAlignment="1">
      <alignment horizontal="center" vertical="center"/>
    </xf>
    <xf numFmtId="1" fontId="0" fillId="0" borderId="25" xfId="0" applyNumberFormat="1" applyBorder="1" applyAlignment="1">
      <alignment horizontal="center" vertical="center"/>
    </xf>
    <xf numFmtId="164" fontId="3" fillId="3" borderId="8" xfId="0" applyNumberFormat="1" applyFont="1" applyFill="1" applyBorder="1" applyAlignment="1">
      <alignment horizontal="left"/>
    </xf>
    <xf numFmtId="164" fontId="3" fillId="3" borderId="0" xfId="0" applyNumberFormat="1" applyFont="1" applyFill="1" applyAlignment="1">
      <alignment horizontal="right"/>
    </xf>
    <xf numFmtId="164" fontId="8" fillId="3" borderId="0" xfId="0" applyNumberFormat="1" applyFont="1" applyFill="1" applyAlignment="1">
      <alignment horizontal="center"/>
    </xf>
    <xf numFmtId="164" fontId="3" fillId="3" borderId="0" xfId="0" applyNumberFormat="1" applyFont="1" applyFill="1" applyAlignment="1">
      <alignment horizontal="center"/>
    </xf>
    <xf numFmtId="1" fontId="3" fillId="3" borderId="0" xfId="0" applyNumberFormat="1" applyFont="1" applyFill="1" applyAlignment="1">
      <alignment horizontal="left"/>
    </xf>
    <xf numFmtId="0" fontId="3" fillId="3" borderId="8" xfId="0" applyFont="1" applyFill="1" applyBorder="1" applyAlignment="1">
      <alignment horizontal="left"/>
    </xf>
    <xf numFmtId="0" fontId="3" fillId="3" borderId="0" xfId="0" applyFont="1" applyFill="1"/>
    <xf numFmtId="0" fontId="3" fillId="3" borderId="8" xfId="0" applyFont="1" applyFill="1" applyBorder="1"/>
    <xf numFmtId="0" fontId="0" fillId="3" borderId="7" xfId="0" applyFill="1" applyBorder="1"/>
    <xf numFmtId="164" fontId="3" fillId="0" borderId="0" xfId="0" applyNumberFormat="1" applyFont="1" applyAlignment="1">
      <alignment horizontal="center"/>
    </xf>
    <xf numFmtId="1" fontId="3" fillId="0" borderId="0" xfId="0" applyNumberFormat="1" applyFont="1" applyAlignment="1">
      <alignment horizontal="left"/>
    </xf>
    <xf numFmtId="164" fontId="3" fillId="0" borderId="0" xfId="0" applyNumberFormat="1" applyFont="1" applyAlignment="1">
      <alignment horizontal="right"/>
    </xf>
    <xf numFmtId="164" fontId="8" fillId="0" borderId="0" xfId="0" applyNumberFormat="1" applyFont="1" applyAlignment="1">
      <alignment horizontal="center"/>
    </xf>
    <xf numFmtId="0" fontId="3" fillId="0" borderId="0" xfId="0" applyFont="1"/>
    <xf numFmtId="0" fontId="0" fillId="0" borderId="0" xfId="0" applyAlignment="1">
      <alignment horizontal="center"/>
    </xf>
    <xf numFmtId="0" fontId="0" fillId="0" borderId="0" xfId="1" applyNumberFormat="1" applyFont="1" applyAlignment="1">
      <alignment horizontal="center"/>
    </xf>
    <xf numFmtId="168" fontId="0" fillId="0" borderId="2" xfId="0" applyNumberFormat="1" applyBorder="1" applyAlignment="1">
      <alignment horizontal="center" vertical="center" wrapText="1"/>
    </xf>
    <xf numFmtId="167" fontId="0" fillId="0" borderId="1" xfId="0" applyNumberFormat="1" applyBorder="1" applyAlignment="1">
      <alignment horizontal="center" vertical="center" wrapText="1"/>
    </xf>
    <xf numFmtId="0" fontId="0" fillId="0" borderId="0" xfId="1" applyNumberFormat="1" applyFont="1" applyBorder="1" applyAlignment="1">
      <alignment horizontal="center"/>
    </xf>
    <xf numFmtId="10" fontId="0" fillId="0" borderId="0" xfId="1" applyNumberFormat="1" applyFont="1" applyBorder="1"/>
    <xf numFmtId="0" fontId="0" fillId="0" borderId="0" xfId="0" applyAlignment="1">
      <alignment wrapText="1"/>
    </xf>
    <xf numFmtId="0" fontId="0" fillId="0" borderId="0" xfId="1" applyNumberFormat="1" applyFont="1" applyBorder="1" applyAlignment="1"/>
    <xf numFmtId="169" fontId="0" fillId="0" borderId="1" xfId="0" applyNumberFormat="1" applyBorder="1" applyAlignment="1">
      <alignment horizontal="center" vertical="center" wrapText="1"/>
    </xf>
    <xf numFmtId="170" fontId="0" fillId="0" borderId="1" xfId="0" applyNumberFormat="1" applyBorder="1" applyAlignment="1">
      <alignment horizontal="center" vertical="center" wrapText="1"/>
    </xf>
    <xf numFmtId="0" fontId="9" fillId="2" borderId="12" xfId="0" applyFont="1" applyFill="1" applyBorder="1" applyAlignment="1">
      <alignment horizontal="center"/>
    </xf>
    <xf numFmtId="0" fontId="9" fillId="2" borderId="13" xfId="0" applyFont="1" applyFill="1" applyBorder="1" applyAlignment="1">
      <alignment horizontal="center"/>
    </xf>
    <xf numFmtId="0" fontId="9" fillId="2" borderId="14" xfId="0" applyFont="1" applyFill="1" applyBorder="1" applyAlignment="1">
      <alignment horizontal="center"/>
    </xf>
    <xf numFmtId="0" fontId="10" fillId="2" borderId="12" xfId="0" applyFont="1" applyFill="1" applyBorder="1" applyAlignment="1">
      <alignment horizontal="center" wrapText="1"/>
    </xf>
    <xf numFmtId="0" fontId="10" fillId="2" borderId="13" xfId="0" applyFont="1" applyFill="1" applyBorder="1" applyAlignment="1">
      <alignment horizontal="center" wrapText="1"/>
    </xf>
    <xf numFmtId="0" fontId="10" fillId="2" borderId="14" xfId="0" applyFont="1" applyFill="1" applyBorder="1" applyAlignment="1">
      <alignment horizontal="center" wrapText="1"/>
    </xf>
    <xf numFmtId="2" fontId="0" fillId="0" borderId="19" xfId="0" applyNumberFormat="1" applyBorder="1" applyAlignment="1">
      <alignment horizontal="center" vertical="center"/>
    </xf>
    <xf numFmtId="2" fontId="0" fillId="0" borderId="21" xfId="0" applyNumberFormat="1" applyBorder="1" applyAlignment="1">
      <alignment horizontal="center" vertical="center"/>
    </xf>
    <xf numFmtId="2" fontId="0" fillId="0" borderId="27" xfId="0" applyNumberFormat="1" applyBorder="1" applyAlignment="1">
      <alignment horizontal="center" vertical="center"/>
    </xf>
    <xf numFmtId="0" fontId="0" fillId="0" borderId="20"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1" fontId="0" fillId="0" borderId="5" xfId="0" applyNumberFormat="1" applyBorder="1" applyAlignment="1">
      <alignment horizontal="center" vertical="center"/>
    </xf>
    <xf numFmtId="1" fontId="0" fillId="0" borderId="4" xfId="0" applyNumberFormat="1" applyBorder="1" applyAlignment="1">
      <alignment horizontal="center" vertical="center"/>
    </xf>
    <xf numFmtId="1" fontId="0" fillId="0" borderId="26" xfId="0" applyNumberFormat="1" applyBorder="1" applyAlignment="1">
      <alignment horizontal="center" vertical="center"/>
    </xf>
    <xf numFmtId="0" fontId="0" fillId="0" borderId="28" xfId="0" quotePrefix="1" applyBorder="1" applyAlignment="1">
      <alignment horizontal="left" vertical="center" wrapText="1"/>
    </xf>
    <xf numFmtId="0" fontId="0" fillId="0" borderId="29" xfId="0" quotePrefix="1" applyBorder="1" applyAlignment="1">
      <alignment horizontal="left" vertical="center" wrapText="1"/>
    </xf>
  </cellXfs>
  <cellStyles count="2">
    <cellStyle name="Normal" xfId="0" builtinId="0"/>
    <cellStyle name="Percent" xfId="1" builtinId="5"/>
  </cellStyles>
  <dxfs count="2">
    <dxf>
      <fill>
        <patternFill>
          <bgColor rgb="FFFFCCCC"/>
        </patternFill>
      </fill>
    </dxf>
    <dxf>
      <fill>
        <patternFill>
          <bgColor rgb="FFFFCCCC"/>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3</xdr:row>
      <xdr:rowOff>0</xdr:rowOff>
    </xdr:from>
    <xdr:ext cx="1076325" cy="175369"/>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A5141460-7233-4B28-8E5A-34598F1DFAA7}"/>
                </a:ext>
              </a:extLst>
            </xdr:cNvPr>
            <xdr:cNvSpPr txBox="1"/>
          </xdr:nvSpPr>
          <xdr:spPr>
            <a:xfrm>
              <a:off x="609600" y="381000"/>
              <a:ext cx="1076325"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panose="02040503050406030204" pitchFamily="18" charset="0"/>
                      </a:rPr>
                      <m:t>𝑃𝑖𝑝𝑒</m:t>
                    </m:r>
                    <m:r>
                      <a:rPr lang="en-US" sz="1100" b="0" i="1">
                        <a:latin typeface="Cambria Math" panose="02040503050406030204" pitchFamily="18" charset="0"/>
                      </a:rPr>
                      <m:t> </m:t>
                    </m:r>
                    <m:r>
                      <a:rPr lang="en-US" sz="1100" b="0" i="1">
                        <a:latin typeface="Cambria Math" panose="02040503050406030204" pitchFamily="18" charset="0"/>
                      </a:rPr>
                      <m:t>𝐴𝑟𝑒𝑎</m:t>
                    </m:r>
                    <m:r>
                      <a:rPr lang="en-US" sz="1100" i="1">
                        <a:latin typeface="Cambria Math" panose="02040503050406030204" pitchFamily="18" charset="0"/>
                      </a:rPr>
                      <m:t>=</m:t>
                    </m:r>
                    <m:r>
                      <a:rPr lang="el-GR" sz="1100" i="1">
                        <a:latin typeface="Cambria Math" panose="02040503050406030204" pitchFamily="18" charset="0"/>
                      </a:rPr>
                      <m:t>𝜋</m:t>
                    </m:r>
                    <m:sSup>
                      <m:sSupPr>
                        <m:ctrlPr>
                          <a:rPr lang="en-US" sz="1100" i="1">
                            <a:latin typeface="Cambria Math" panose="02040503050406030204" pitchFamily="18" charset="0"/>
                          </a:rPr>
                        </m:ctrlPr>
                      </m:sSupPr>
                      <m:e>
                        <m:r>
                          <a:rPr lang="en-US" sz="1100" i="1">
                            <a:latin typeface="Cambria Math" panose="02040503050406030204" pitchFamily="18" charset="0"/>
                          </a:rPr>
                          <m:t>𝑟</m:t>
                        </m:r>
                      </m:e>
                      <m:sup>
                        <m:r>
                          <a:rPr lang="en-US" sz="1100" i="1">
                            <a:latin typeface="Cambria Math" panose="02040503050406030204" pitchFamily="18" charset="0"/>
                          </a:rPr>
                          <m:t>2</m:t>
                        </m:r>
                      </m:sup>
                    </m:sSup>
                  </m:oMath>
                </m:oMathPara>
              </a14:m>
              <a:endParaRPr lang="en-US" sz="1100"/>
            </a:p>
          </xdr:txBody>
        </xdr:sp>
      </mc:Choice>
      <mc:Fallback xmlns="">
        <xdr:sp macro="" textlink="">
          <xdr:nvSpPr>
            <xdr:cNvPr id="2" name="TextBox 1">
              <a:extLst>
                <a:ext uri="{FF2B5EF4-FFF2-40B4-BE49-F238E27FC236}">
                  <a16:creationId xmlns:a16="http://schemas.microsoft.com/office/drawing/2014/main" id="{A5141460-7233-4B28-8E5A-34598F1DFAA7}"/>
                </a:ext>
              </a:extLst>
            </xdr:cNvPr>
            <xdr:cNvSpPr txBox="1"/>
          </xdr:nvSpPr>
          <xdr:spPr>
            <a:xfrm>
              <a:off x="609600" y="381000"/>
              <a:ext cx="1076325"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100" b="0" i="0">
                  <a:latin typeface="Cambria Math" panose="02040503050406030204" pitchFamily="18" charset="0"/>
                </a:rPr>
                <a:t>𝑃𝑖𝑝𝑒 𝐴𝑟𝑒𝑎</a:t>
              </a:r>
              <a:r>
                <a:rPr lang="en-US" sz="1100" i="0">
                  <a:latin typeface="Cambria Math" panose="02040503050406030204" pitchFamily="18" charset="0"/>
                </a:rPr>
                <a:t>=</a:t>
              </a:r>
              <a:r>
                <a:rPr lang="el-GR" sz="1100" i="0">
                  <a:latin typeface="Cambria Math" panose="02040503050406030204" pitchFamily="18" charset="0"/>
                </a:rPr>
                <a:t>𝜋</a:t>
              </a:r>
              <a:r>
                <a:rPr lang="en-US" sz="1100" i="0">
                  <a:latin typeface="Cambria Math" panose="02040503050406030204" pitchFamily="18" charset="0"/>
                </a:rPr>
                <a:t>𝑟^2</a:t>
              </a:r>
              <a:endParaRPr lang="en-US" sz="1100"/>
            </a:p>
          </xdr:txBody>
        </xdr:sp>
      </mc:Fallback>
    </mc:AlternateContent>
    <xdr:clientData/>
  </xdr:oneCellAnchor>
  <xdr:oneCellAnchor>
    <xdr:from>
      <xdr:col>1</xdr:col>
      <xdr:colOff>1</xdr:colOff>
      <xdr:row>5</xdr:row>
      <xdr:rowOff>0</xdr:rowOff>
    </xdr:from>
    <xdr:ext cx="1552574" cy="320280"/>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5F9FAC10-C67C-4773-9103-AD698E11392F}"/>
                </a:ext>
              </a:extLst>
            </xdr:cNvPr>
            <xdr:cNvSpPr txBox="1"/>
          </xdr:nvSpPr>
          <xdr:spPr>
            <a:xfrm>
              <a:off x="609601" y="762000"/>
              <a:ext cx="1552574" cy="3202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b="0" i="1">
                        <a:solidFill>
                          <a:schemeClr val="tx1"/>
                        </a:solidFill>
                        <a:effectLst/>
                        <a:latin typeface="Cambria Math" panose="02040503050406030204" pitchFamily="18" charset="0"/>
                        <a:ea typeface="+mn-ea"/>
                        <a:cs typeface="+mn-cs"/>
                      </a:rPr>
                      <m:t>𝑊𝑒𝑡</m:t>
                    </m:r>
                    <m:r>
                      <a:rPr lang="en-US" sz="1100" b="0" i="1">
                        <a:solidFill>
                          <a:schemeClr val="tx1"/>
                        </a:solidFill>
                        <a:effectLst/>
                        <a:latin typeface="Cambria Math" panose="02040503050406030204" pitchFamily="18" charset="0"/>
                        <a:ea typeface="+mn-ea"/>
                        <a:cs typeface="+mn-cs"/>
                      </a:rPr>
                      <m:t> </m:t>
                    </m:r>
                    <m:r>
                      <a:rPr lang="en-US" sz="1100" b="0" i="1">
                        <a:solidFill>
                          <a:schemeClr val="tx1"/>
                        </a:solidFill>
                        <a:effectLst/>
                        <a:latin typeface="Cambria Math" panose="02040503050406030204" pitchFamily="18" charset="0"/>
                        <a:ea typeface="+mn-ea"/>
                        <a:cs typeface="+mn-cs"/>
                      </a:rPr>
                      <m:t>𝑃𝑒𝑟𝑖𝑚𝑒𝑡𝑒𝑟</m:t>
                    </m:r>
                    <m:r>
                      <a:rPr lang="en-US" sz="1100" i="1">
                        <a:latin typeface="Cambria Math" panose="02040503050406030204" pitchFamily="18" charset="0"/>
                      </a:rPr>
                      <m:t>=</m:t>
                    </m:r>
                    <m:r>
                      <a:rPr lang="el-GR" sz="1100" i="1">
                        <a:solidFill>
                          <a:schemeClr val="tx1"/>
                        </a:solidFill>
                        <a:effectLst/>
                        <a:latin typeface="Cambria Math" panose="02040503050406030204" pitchFamily="18" charset="0"/>
                        <a:ea typeface="+mn-ea"/>
                        <a:cs typeface="+mn-cs"/>
                      </a:rPr>
                      <m:t>𝜋</m:t>
                    </m:r>
                    <m:r>
                      <a:rPr lang="en-US" sz="1100" b="0" i="1">
                        <a:latin typeface="Cambria Math" panose="02040503050406030204" pitchFamily="18" charset="0"/>
                      </a:rPr>
                      <m:t>∗</m:t>
                    </m:r>
                    <m:f>
                      <m:fPr>
                        <m:ctrlPr>
                          <a:rPr lang="en-US" sz="1100" i="1">
                            <a:latin typeface="Cambria Math" panose="02040503050406030204" pitchFamily="18" charset="0"/>
                          </a:rPr>
                        </m:ctrlPr>
                      </m:fPr>
                      <m:num>
                        <m:r>
                          <a:rPr lang="en-US" sz="1100" b="0" i="1">
                            <a:latin typeface="Cambria Math" panose="02040503050406030204" pitchFamily="18" charset="0"/>
                          </a:rPr>
                          <m:t>𝑑</m:t>
                        </m:r>
                      </m:num>
                      <m:den>
                        <m:r>
                          <a:rPr lang="en-US" sz="1100" b="0" i="1">
                            <a:latin typeface="Cambria Math" panose="02040503050406030204" pitchFamily="18" charset="0"/>
                          </a:rPr>
                          <m:t>12</m:t>
                        </m:r>
                      </m:den>
                    </m:f>
                  </m:oMath>
                </m:oMathPara>
              </a14:m>
              <a:endParaRPr lang="en-US" sz="1100"/>
            </a:p>
          </xdr:txBody>
        </xdr:sp>
      </mc:Choice>
      <mc:Fallback xmlns="">
        <xdr:sp macro="" textlink="">
          <xdr:nvSpPr>
            <xdr:cNvPr id="3" name="TextBox 2">
              <a:extLst>
                <a:ext uri="{FF2B5EF4-FFF2-40B4-BE49-F238E27FC236}">
                  <a16:creationId xmlns:a16="http://schemas.microsoft.com/office/drawing/2014/main" id="{5F9FAC10-C67C-4773-9103-AD698E11392F}"/>
                </a:ext>
              </a:extLst>
            </xdr:cNvPr>
            <xdr:cNvSpPr txBox="1"/>
          </xdr:nvSpPr>
          <xdr:spPr>
            <a:xfrm>
              <a:off x="609601" y="762000"/>
              <a:ext cx="1552574" cy="3202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100" b="0" i="0">
                  <a:solidFill>
                    <a:schemeClr val="tx1"/>
                  </a:solidFill>
                  <a:effectLst/>
                  <a:latin typeface="Cambria Math" panose="02040503050406030204" pitchFamily="18" charset="0"/>
                  <a:ea typeface="+mn-ea"/>
                  <a:cs typeface="+mn-cs"/>
                </a:rPr>
                <a:t>𝑊𝑒𝑡 𝑃𝑒𝑟𝑖𝑚𝑒𝑡𝑒𝑟</a:t>
              </a:r>
              <a:r>
                <a:rPr lang="en-US" sz="1100" i="0">
                  <a:latin typeface="Cambria Math" panose="02040503050406030204" pitchFamily="18" charset="0"/>
                </a:rPr>
                <a:t>=</a:t>
              </a:r>
              <a:r>
                <a:rPr lang="el-GR" sz="1100" i="0">
                  <a:solidFill>
                    <a:schemeClr val="tx1"/>
                  </a:solidFill>
                  <a:effectLst/>
                  <a:latin typeface="Cambria Math" panose="02040503050406030204" pitchFamily="18" charset="0"/>
                  <a:ea typeface="+mn-ea"/>
                  <a:cs typeface="+mn-cs"/>
                </a:rPr>
                <a:t>𝜋</a:t>
              </a:r>
              <a:r>
                <a:rPr lang="en-US" sz="1100" b="0" i="0">
                  <a:latin typeface="Cambria Math" panose="02040503050406030204" pitchFamily="18" charset="0"/>
                </a:rPr>
                <a:t>∗𝑑/12</a:t>
              </a:r>
              <a:endParaRPr lang="en-US" sz="1100"/>
            </a:p>
          </xdr:txBody>
        </xdr:sp>
      </mc:Fallback>
    </mc:AlternateContent>
    <xdr:clientData/>
  </xdr:oneCellAnchor>
  <xdr:oneCellAnchor>
    <xdr:from>
      <xdr:col>1</xdr:col>
      <xdr:colOff>0</xdr:colOff>
      <xdr:row>7</xdr:row>
      <xdr:rowOff>190499</xdr:rowOff>
    </xdr:from>
    <xdr:ext cx="2276475" cy="317972"/>
    <mc:AlternateContent xmlns:mc="http://schemas.openxmlformats.org/markup-compatibility/2006" xmlns:a14="http://schemas.microsoft.com/office/drawing/2010/main">
      <mc:Choice Requires="a14">
        <xdr:sp macro="" textlink="">
          <xdr:nvSpPr>
            <xdr:cNvPr id="4" name="TextBox 3">
              <a:extLst>
                <a:ext uri="{FF2B5EF4-FFF2-40B4-BE49-F238E27FC236}">
                  <a16:creationId xmlns:a16="http://schemas.microsoft.com/office/drawing/2014/main" id="{DBFDE96F-9EAF-4D5F-8A4B-8F65C24FAC18}"/>
                </a:ext>
              </a:extLst>
            </xdr:cNvPr>
            <xdr:cNvSpPr txBox="1"/>
          </xdr:nvSpPr>
          <xdr:spPr>
            <a:xfrm>
              <a:off x="609600" y="1333499"/>
              <a:ext cx="2276475" cy="3179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b="0" i="1">
                        <a:solidFill>
                          <a:schemeClr val="tx1"/>
                        </a:solidFill>
                        <a:effectLst/>
                        <a:latin typeface="Cambria Math" panose="02040503050406030204" pitchFamily="18" charset="0"/>
                        <a:ea typeface="+mn-ea"/>
                        <a:cs typeface="+mn-cs"/>
                      </a:rPr>
                      <m:t>𝐻𝑦𝑑𝑟𝑎𝑢𝑙𝑖𝑐</m:t>
                    </m:r>
                    <m:r>
                      <a:rPr lang="en-US" sz="1100" b="0" i="1">
                        <a:solidFill>
                          <a:schemeClr val="tx1"/>
                        </a:solidFill>
                        <a:effectLst/>
                        <a:latin typeface="Cambria Math" panose="02040503050406030204" pitchFamily="18" charset="0"/>
                        <a:ea typeface="+mn-ea"/>
                        <a:cs typeface="+mn-cs"/>
                      </a:rPr>
                      <m:t> </m:t>
                    </m:r>
                    <m:r>
                      <a:rPr lang="en-US" sz="1100" b="0" i="1">
                        <a:solidFill>
                          <a:schemeClr val="tx1"/>
                        </a:solidFill>
                        <a:effectLst/>
                        <a:latin typeface="Cambria Math" panose="02040503050406030204" pitchFamily="18" charset="0"/>
                        <a:ea typeface="+mn-ea"/>
                        <a:cs typeface="+mn-cs"/>
                      </a:rPr>
                      <m:t>𝑅𝑎𝑑𝑖𝑢𝑠</m:t>
                    </m:r>
                    <m:r>
                      <a:rPr lang="en-US" sz="1100" i="1">
                        <a:latin typeface="Cambria Math" panose="02040503050406030204" pitchFamily="18" charset="0"/>
                      </a:rPr>
                      <m:t>=</m:t>
                    </m:r>
                    <m:f>
                      <m:fPr>
                        <m:ctrlPr>
                          <a:rPr lang="en-US" sz="1100" b="0" i="1">
                            <a:latin typeface="Cambria Math" panose="02040503050406030204" pitchFamily="18" charset="0"/>
                          </a:rPr>
                        </m:ctrlPr>
                      </m:fPr>
                      <m:num>
                        <m:r>
                          <a:rPr lang="en-US" sz="1100" b="0" i="1">
                            <a:latin typeface="Cambria Math" panose="02040503050406030204" pitchFamily="18" charset="0"/>
                          </a:rPr>
                          <m:t>𝑃𝑖𝑝𝑒</m:t>
                        </m:r>
                        <m:r>
                          <a:rPr lang="en-US" sz="1100" b="0" i="1">
                            <a:latin typeface="Cambria Math" panose="02040503050406030204" pitchFamily="18" charset="0"/>
                          </a:rPr>
                          <m:t> </m:t>
                        </m:r>
                        <m:r>
                          <a:rPr lang="en-US" sz="1100" b="0" i="1">
                            <a:latin typeface="Cambria Math" panose="02040503050406030204" pitchFamily="18" charset="0"/>
                          </a:rPr>
                          <m:t>𝐴𝑟𝑒𝑎</m:t>
                        </m:r>
                      </m:num>
                      <m:den>
                        <m:r>
                          <a:rPr lang="en-US" sz="1100" b="0" i="1">
                            <a:latin typeface="Cambria Math" panose="02040503050406030204" pitchFamily="18" charset="0"/>
                          </a:rPr>
                          <m:t>𝑊𝑒𝑡</m:t>
                        </m:r>
                        <m:r>
                          <a:rPr lang="en-US" sz="1100" b="0" i="1">
                            <a:latin typeface="Cambria Math" panose="02040503050406030204" pitchFamily="18" charset="0"/>
                          </a:rPr>
                          <m:t> </m:t>
                        </m:r>
                        <m:r>
                          <a:rPr lang="en-US" sz="1100" b="0" i="1">
                            <a:latin typeface="Cambria Math" panose="02040503050406030204" pitchFamily="18" charset="0"/>
                          </a:rPr>
                          <m:t>𝑃𝑒𝑟𝑖𝑚𝑒𝑡𝑒𝑟</m:t>
                        </m:r>
                      </m:den>
                    </m:f>
                  </m:oMath>
                </m:oMathPara>
              </a14:m>
              <a:endParaRPr lang="en-US" sz="1100"/>
            </a:p>
          </xdr:txBody>
        </xdr:sp>
      </mc:Choice>
      <mc:Fallback xmlns="">
        <xdr:sp macro="" textlink="">
          <xdr:nvSpPr>
            <xdr:cNvPr id="4" name="TextBox 3">
              <a:extLst>
                <a:ext uri="{FF2B5EF4-FFF2-40B4-BE49-F238E27FC236}">
                  <a16:creationId xmlns:a16="http://schemas.microsoft.com/office/drawing/2014/main" id="{DBFDE96F-9EAF-4D5F-8A4B-8F65C24FAC18}"/>
                </a:ext>
              </a:extLst>
            </xdr:cNvPr>
            <xdr:cNvSpPr txBox="1"/>
          </xdr:nvSpPr>
          <xdr:spPr>
            <a:xfrm>
              <a:off x="609600" y="1333499"/>
              <a:ext cx="2276475" cy="3179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100" b="0" i="0">
                  <a:solidFill>
                    <a:schemeClr val="tx1"/>
                  </a:solidFill>
                  <a:effectLst/>
                  <a:latin typeface="Cambria Math" panose="02040503050406030204" pitchFamily="18" charset="0"/>
                  <a:ea typeface="+mn-ea"/>
                  <a:cs typeface="+mn-cs"/>
                </a:rPr>
                <a:t>𝐻𝑦𝑑𝑟𝑎𝑢𝑙𝑖𝑐 𝑅𝑎𝑑𝑖𝑢𝑠</a:t>
              </a:r>
              <a:r>
                <a:rPr lang="en-US" sz="1100" i="0">
                  <a:latin typeface="Cambria Math" panose="02040503050406030204" pitchFamily="18" charset="0"/>
                </a:rPr>
                <a:t>=</a:t>
              </a:r>
              <a:r>
                <a:rPr lang="en-US" sz="1100" b="0" i="0">
                  <a:latin typeface="Cambria Math" panose="02040503050406030204" pitchFamily="18" charset="0"/>
                </a:rPr>
                <a:t>(𝑃𝑖𝑝𝑒 𝐴𝑟𝑒𝑎)/(𝑊𝑒𝑡 𝑃𝑒𝑟𝑖𝑚𝑒𝑡𝑒𝑟)</a:t>
              </a:r>
              <a:endParaRPr lang="en-US" sz="1100"/>
            </a:p>
          </xdr:txBody>
        </xdr:sp>
      </mc:Fallback>
    </mc:AlternateContent>
    <xdr:clientData/>
  </xdr:oneCellAnchor>
  <xdr:oneCellAnchor>
    <xdr:from>
      <xdr:col>0</xdr:col>
      <xdr:colOff>609599</xdr:colOff>
      <xdr:row>11</xdr:row>
      <xdr:rowOff>0</xdr:rowOff>
    </xdr:from>
    <xdr:ext cx="2962275" cy="351058"/>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BD54E88F-B788-4D21-8432-E72856CEEC14}"/>
                </a:ext>
              </a:extLst>
            </xdr:cNvPr>
            <xdr:cNvSpPr txBox="1"/>
          </xdr:nvSpPr>
          <xdr:spPr>
            <a:xfrm>
              <a:off x="609599" y="2114550"/>
              <a:ext cx="2962275" cy="351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b="0" i="1">
                        <a:solidFill>
                          <a:schemeClr val="tx1"/>
                        </a:solidFill>
                        <a:effectLst/>
                        <a:latin typeface="Cambria Math" panose="02040503050406030204" pitchFamily="18" charset="0"/>
                        <a:ea typeface="+mn-ea"/>
                        <a:cs typeface="+mn-cs"/>
                      </a:rPr>
                      <m:t>𝐹𝑢𝑙𝑙</m:t>
                    </m:r>
                    <m:r>
                      <a:rPr lang="en-US" sz="1100" b="0" i="1">
                        <a:solidFill>
                          <a:schemeClr val="tx1"/>
                        </a:solidFill>
                        <a:effectLst/>
                        <a:latin typeface="Cambria Math" panose="02040503050406030204" pitchFamily="18" charset="0"/>
                        <a:ea typeface="+mn-ea"/>
                        <a:cs typeface="+mn-cs"/>
                      </a:rPr>
                      <m:t> </m:t>
                    </m:r>
                    <m:r>
                      <a:rPr lang="en-US" sz="1100" b="0" i="1">
                        <a:solidFill>
                          <a:schemeClr val="tx1"/>
                        </a:solidFill>
                        <a:effectLst/>
                        <a:latin typeface="Cambria Math" panose="02040503050406030204" pitchFamily="18" charset="0"/>
                        <a:ea typeface="+mn-ea"/>
                        <a:cs typeface="+mn-cs"/>
                      </a:rPr>
                      <m:t>𝐹𝑙𝑜𝑤</m:t>
                    </m:r>
                    <m:r>
                      <a:rPr lang="en-US" sz="1100" i="1">
                        <a:latin typeface="Cambria Math" panose="02040503050406030204" pitchFamily="18" charset="0"/>
                      </a:rPr>
                      <m:t>=</m:t>
                    </m:r>
                    <m:f>
                      <m:fPr>
                        <m:ctrlPr>
                          <a:rPr lang="en-US" sz="1100" b="0" i="1">
                            <a:latin typeface="Cambria Math" panose="02040503050406030204" pitchFamily="18" charset="0"/>
                          </a:rPr>
                        </m:ctrlPr>
                      </m:fPr>
                      <m:num>
                        <m:r>
                          <a:rPr lang="en-US" sz="1100" b="0" i="1">
                            <a:latin typeface="Cambria Math" panose="02040503050406030204" pitchFamily="18" charset="0"/>
                          </a:rPr>
                          <m:t>𝑃𝑖𝑝𝑒</m:t>
                        </m:r>
                        <m:r>
                          <a:rPr lang="en-US" sz="1100" b="0" i="1">
                            <a:latin typeface="Cambria Math" panose="02040503050406030204" pitchFamily="18" charset="0"/>
                          </a:rPr>
                          <m:t> </m:t>
                        </m:r>
                        <m:r>
                          <a:rPr lang="en-US" sz="1100" b="0" i="1">
                            <a:latin typeface="Cambria Math" panose="02040503050406030204" pitchFamily="18" charset="0"/>
                          </a:rPr>
                          <m:t>𝐴𝑟𝑒𝑎</m:t>
                        </m:r>
                        <m:r>
                          <a:rPr lang="en-US" sz="1100" b="0" i="1">
                            <a:latin typeface="Cambria Math" panose="02040503050406030204" pitchFamily="18" charset="0"/>
                          </a:rPr>
                          <m:t>∗</m:t>
                        </m:r>
                        <m:r>
                          <a:rPr lang="en-US" sz="1100" b="0" i="1">
                            <a:latin typeface="Cambria Math" panose="02040503050406030204" pitchFamily="18" charset="0"/>
                          </a:rPr>
                          <m:t>𝑉𝑒𝑙𝑜𝑐𝑖𝑡𝑦</m:t>
                        </m:r>
                        <m:r>
                          <a:rPr lang="en-US" sz="1100" b="0" i="1">
                            <a:latin typeface="Cambria Math" panose="02040503050406030204" pitchFamily="18" charset="0"/>
                          </a:rPr>
                          <m:t> ∗60 </m:t>
                        </m:r>
                        <m:r>
                          <a:rPr lang="en-US" sz="1100" b="0" i="1">
                            <a:latin typeface="Cambria Math" panose="02040503050406030204" pitchFamily="18" charset="0"/>
                          </a:rPr>
                          <m:t>𝑆𝑒𝑐𝑜𝑛𝑑𝑠</m:t>
                        </m:r>
                      </m:num>
                      <m:den>
                        <m:r>
                          <a:rPr lang="en-US" sz="1100" b="0" i="1">
                            <a:latin typeface="Cambria Math" panose="02040503050406030204" pitchFamily="18" charset="0"/>
                          </a:rPr>
                          <m:t>0.133681 </m:t>
                        </m:r>
                        <m:r>
                          <a:rPr lang="en-US" sz="1100" b="0" i="1">
                            <a:latin typeface="Cambria Math" panose="02040503050406030204" pitchFamily="18" charset="0"/>
                          </a:rPr>
                          <m:t>𝑓</m:t>
                        </m:r>
                        <m:sSup>
                          <m:sSupPr>
                            <m:ctrlPr>
                              <a:rPr lang="en-US" sz="1100" b="0" i="1">
                                <a:latin typeface="Cambria Math" panose="02040503050406030204" pitchFamily="18" charset="0"/>
                              </a:rPr>
                            </m:ctrlPr>
                          </m:sSupPr>
                          <m:e>
                            <m:r>
                              <a:rPr lang="en-US" sz="1100" b="0" i="1">
                                <a:latin typeface="Cambria Math" panose="02040503050406030204" pitchFamily="18" charset="0"/>
                              </a:rPr>
                              <m:t>𝑡</m:t>
                            </m:r>
                          </m:e>
                          <m:sup>
                            <m:r>
                              <a:rPr lang="en-US" sz="1100" b="0" i="1">
                                <a:latin typeface="Cambria Math" panose="02040503050406030204" pitchFamily="18" charset="0"/>
                              </a:rPr>
                              <m:t>3</m:t>
                            </m:r>
                          </m:sup>
                        </m:sSup>
                      </m:den>
                    </m:f>
                  </m:oMath>
                </m:oMathPara>
              </a14:m>
              <a:endParaRPr lang="en-US" sz="1100"/>
            </a:p>
          </xdr:txBody>
        </xdr:sp>
      </mc:Choice>
      <mc:Fallback xmlns="">
        <xdr:sp macro="" textlink="">
          <xdr:nvSpPr>
            <xdr:cNvPr id="5" name="TextBox 4">
              <a:extLst>
                <a:ext uri="{FF2B5EF4-FFF2-40B4-BE49-F238E27FC236}">
                  <a16:creationId xmlns:a16="http://schemas.microsoft.com/office/drawing/2014/main" id="{BD54E88F-B788-4D21-8432-E72856CEEC14}"/>
                </a:ext>
              </a:extLst>
            </xdr:cNvPr>
            <xdr:cNvSpPr txBox="1"/>
          </xdr:nvSpPr>
          <xdr:spPr>
            <a:xfrm>
              <a:off x="609599" y="2114550"/>
              <a:ext cx="2962275" cy="351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100" b="0" i="0">
                  <a:solidFill>
                    <a:schemeClr val="tx1"/>
                  </a:solidFill>
                  <a:effectLst/>
                  <a:latin typeface="Cambria Math" panose="02040503050406030204" pitchFamily="18" charset="0"/>
                  <a:ea typeface="+mn-ea"/>
                  <a:cs typeface="+mn-cs"/>
                </a:rPr>
                <a:t>𝐹𝑢𝑙𝑙 𝐹𝑙𝑜𝑤</a:t>
              </a:r>
              <a:r>
                <a:rPr lang="en-US" sz="1100" i="0">
                  <a:latin typeface="Cambria Math" panose="02040503050406030204" pitchFamily="18" charset="0"/>
                </a:rPr>
                <a:t>=</a:t>
              </a:r>
              <a:r>
                <a:rPr lang="en-US" sz="1100" b="0" i="0">
                  <a:latin typeface="Cambria Math" panose="02040503050406030204" pitchFamily="18" charset="0"/>
                </a:rPr>
                <a:t>(𝑃𝑖𝑝𝑒 𝐴𝑟𝑒𝑎∗𝑉𝑒𝑙𝑜𝑐𝑖𝑡𝑦 ∗60 𝑆𝑒𝑐𝑜𝑛𝑑𝑠)/(0.133681 𝑓𝑡^3 )</a:t>
              </a:r>
              <a:endParaRPr lang="en-US" sz="1100"/>
            </a:p>
          </xdr:txBody>
        </xdr:sp>
      </mc:Fallback>
    </mc:AlternateContent>
    <xdr:clientData/>
  </xdr:oneCellAnchor>
  <xdr:oneCellAnchor>
    <xdr:from>
      <xdr:col>1</xdr:col>
      <xdr:colOff>19050</xdr:colOff>
      <xdr:row>13</xdr:row>
      <xdr:rowOff>180975</xdr:rowOff>
    </xdr:from>
    <xdr:ext cx="4772025" cy="262636"/>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AE5C72E7-F06F-4FFC-BAFC-FF4FD2C12009}"/>
                </a:ext>
              </a:extLst>
            </xdr:cNvPr>
            <xdr:cNvSpPr txBox="1"/>
          </xdr:nvSpPr>
          <xdr:spPr>
            <a:xfrm>
              <a:off x="628650" y="2676525"/>
              <a:ext cx="4772025" cy="2626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14:m>
                <m:oMath xmlns:m="http://schemas.openxmlformats.org/officeDocument/2006/math">
                  <m:r>
                    <a:rPr lang="en-US" sz="1100" b="0" i="1">
                      <a:latin typeface="Cambria Math" panose="02040503050406030204" pitchFamily="18" charset="0"/>
                    </a:rPr>
                    <m:t>𝐴𝑣𝑒𝑟𝑎𝑔𝑒</m:t>
                  </m:r>
                  <m:r>
                    <a:rPr lang="en-US" sz="1100" b="0" i="1">
                      <a:latin typeface="Cambria Math" panose="02040503050406030204" pitchFamily="18" charset="0"/>
                    </a:rPr>
                    <m:t> </m:t>
                  </m:r>
                  <m:r>
                    <a:rPr lang="en-US" sz="1100" b="0" i="1">
                      <a:latin typeface="Cambria Math" panose="02040503050406030204" pitchFamily="18" charset="0"/>
                    </a:rPr>
                    <m:t>𝐷𝑟𝑦</m:t>
                  </m:r>
                  <m:r>
                    <a:rPr lang="en-US" sz="1100" b="0" i="1">
                      <a:latin typeface="Cambria Math" panose="02040503050406030204" pitchFamily="18" charset="0"/>
                    </a:rPr>
                    <m:t> </m:t>
                  </m:r>
                  <m:r>
                    <a:rPr lang="en-US" sz="1100" b="0" i="1">
                      <a:latin typeface="Cambria Math" panose="02040503050406030204" pitchFamily="18" charset="0"/>
                    </a:rPr>
                    <m:t>𝑊𝑒𝑎𝑡h𝑒𝑟</m:t>
                  </m:r>
                  <m:r>
                    <a:rPr lang="en-US" sz="1100" b="0" i="1">
                      <a:latin typeface="Cambria Math" panose="02040503050406030204" pitchFamily="18" charset="0"/>
                    </a:rPr>
                    <m:t> </m:t>
                  </m:r>
                  <m:r>
                    <a:rPr lang="en-US" sz="1100" b="0" i="1">
                      <a:latin typeface="Cambria Math" panose="02040503050406030204" pitchFamily="18" charset="0"/>
                    </a:rPr>
                    <m:t>𝐹𝑙𝑜𝑤</m:t>
                  </m:r>
                  <m:r>
                    <a:rPr lang="en-US" sz="1100" i="1">
                      <a:latin typeface="Cambria Math" panose="02040503050406030204" pitchFamily="18" charset="0"/>
                    </a:rPr>
                    <m:t>=</m:t>
                  </m:r>
                  <m:r>
                    <a:rPr lang="en-US" sz="1100" b="0" i="1">
                      <a:latin typeface="Cambria Math" panose="02040503050406030204" pitchFamily="18" charset="0"/>
                    </a:rPr>
                    <m:t>(</m:t>
                  </m:r>
                  <m:f>
                    <m:fPr>
                      <m:ctrlPr>
                        <a:rPr lang="en-US" sz="1100" b="0" i="1">
                          <a:latin typeface="Cambria Math" panose="02040503050406030204" pitchFamily="18" charset="0"/>
                        </a:rPr>
                      </m:ctrlPr>
                    </m:fPr>
                    <m:num>
                      <m:r>
                        <a:rPr lang="en-US" sz="1100" b="0" i="1">
                          <a:latin typeface="Cambria Math" panose="02040503050406030204" pitchFamily="18" charset="0"/>
                        </a:rPr>
                        <m:t>80 </m:t>
                      </m:r>
                      <m:r>
                        <a:rPr lang="en-US" sz="1100" b="0" i="1">
                          <a:latin typeface="Cambria Math" panose="02040503050406030204" pitchFamily="18" charset="0"/>
                        </a:rPr>
                        <m:t>𝑔𝑎𝑙</m:t>
                      </m:r>
                    </m:num>
                    <m:den>
                      <m:r>
                        <a:rPr lang="en-US" sz="1100" b="0" i="1">
                          <a:latin typeface="Cambria Math" panose="02040503050406030204" pitchFamily="18" charset="0"/>
                        </a:rPr>
                        <m:t>𝑝𝑒𝑟𝑠𝑜𝑛</m:t>
                      </m:r>
                      <m:r>
                        <a:rPr lang="en-US" sz="1100" b="0" i="1">
                          <a:latin typeface="Cambria Math" panose="02040503050406030204" pitchFamily="18" charset="0"/>
                        </a:rPr>
                        <m:t>−</m:t>
                      </m:r>
                      <m:r>
                        <a:rPr lang="en-US" sz="1100" b="0" i="1">
                          <a:latin typeface="Cambria Math" panose="02040503050406030204" pitchFamily="18" charset="0"/>
                        </a:rPr>
                        <m:t>𝑑𝑎𝑦</m:t>
                      </m:r>
                    </m:den>
                  </m:f>
                </m:oMath>
              </a14:m>
              <a:r>
                <a:rPr lang="en-US" sz="1100"/>
                <a:t> * (</a:t>
              </a:r>
              <a:r>
                <a:rPr lang="en-US" sz="1100" i="1"/>
                <a:t># of LUEs) *</a:t>
              </a:r>
              <a:r>
                <a:rPr lang="en-US" sz="1100" i="1" baseline="0"/>
                <a:t>  </a:t>
              </a:r>
              <a14:m>
                <m:oMath xmlns:m="http://schemas.openxmlformats.org/officeDocument/2006/math">
                  <m:f>
                    <m:fPr>
                      <m:ctrlPr>
                        <a:rPr lang="en-US" sz="1100" b="0" i="1">
                          <a:solidFill>
                            <a:schemeClr val="tx1"/>
                          </a:solidFill>
                          <a:effectLst/>
                          <a:latin typeface="Cambria Math" panose="02040503050406030204" pitchFamily="18" charset="0"/>
                          <a:ea typeface="+mn-ea"/>
                          <a:cs typeface="+mn-cs"/>
                        </a:rPr>
                      </m:ctrlPr>
                    </m:fPr>
                    <m:num>
                      <m:r>
                        <a:rPr lang="en-US" sz="1100" b="0" i="1">
                          <a:solidFill>
                            <a:schemeClr val="tx1"/>
                          </a:solidFill>
                          <a:effectLst/>
                          <a:latin typeface="Cambria Math" panose="02040503050406030204" pitchFamily="18" charset="0"/>
                          <a:ea typeface="+mn-ea"/>
                          <a:cs typeface="+mn-cs"/>
                        </a:rPr>
                        <m:t>3.5 </m:t>
                      </m:r>
                      <m:r>
                        <a:rPr lang="en-US" sz="1100" b="0" i="1">
                          <a:solidFill>
                            <a:schemeClr val="tx1"/>
                          </a:solidFill>
                          <a:effectLst/>
                          <a:latin typeface="Cambria Math" panose="02040503050406030204" pitchFamily="18" charset="0"/>
                          <a:ea typeface="+mn-ea"/>
                          <a:cs typeface="+mn-cs"/>
                        </a:rPr>
                        <m:t>𝑃𝑒𝑜𝑝𝑙𝑒</m:t>
                      </m:r>
                    </m:num>
                    <m:den>
                      <m:r>
                        <a:rPr lang="en-US" sz="1100" b="0" i="1">
                          <a:solidFill>
                            <a:schemeClr val="tx1"/>
                          </a:solidFill>
                          <a:effectLst/>
                          <a:latin typeface="Cambria Math" panose="02040503050406030204" pitchFamily="18" charset="0"/>
                          <a:ea typeface="+mn-ea"/>
                          <a:cs typeface="+mn-cs"/>
                        </a:rPr>
                        <m:t>24 </m:t>
                      </m:r>
                      <m:r>
                        <a:rPr lang="en-US" sz="1100" b="0" i="1">
                          <a:solidFill>
                            <a:schemeClr val="tx1"/>
                          </a:solidFill>
                          <a:effectLst/>
                          <a:latin typeface="Cambria Math" panose="02040503050406030204" pitchFamily="18" charset="0"/>
                          <a:ea typeface="+mn-ea"/>
                          <a:cs typeface="+mn-cs"/>
                        </a:rPr>
                        <m:t>h𝑜𝑢𝑟𝑠</m:t>
                      </m:r>
                      <m:r>
                        <a:rPr lang="en-US" sz="1100" b="0" i="1">
                          <a:solidFill>
                            <a:schemeClr val="tx1"/>
                          </a:solidFill>
                          <a:effectLst/>
                          <a:latin typeface="Cambria Math" panose="02040503050406030204" pitchFamily="18" charset="0"/>
                          <a:ea typeface="+mn-ea"/>
                          <a:cs typeface="+mn-cs"/>
                        </a:rPr>
                        <m:t> ∗60 </m:t>
                      </m:r>
                      <m:r>
                        <a:rPr lang="en-US" sz="1100" b="0" i="1">
                          <a:solidFill>
                            <a:schemeClr val="tx1"/>
                          </a:solidFill>
                          <a:effectLst/>
                          <a:latin typeface="Cambria Math" panose="02040503050406030204" pitchFamily="18" charset="0"/>
                          <a:ea typeface="+mn-ea"/>
                          <a:cs typeface="+mn-cs"/>
                        </a:rPr>
                        <m:t>𝑀𝑖𝑛𝑢𝑡𝑒𝑠</m:t>
                      </m:r>
                    </m:den>
                  </m:f>
                </m:oMath>
              </a14:m>
              <a:r>
                <a:rPr lang="en-US" sz="1100">
                  <a:solidFill>
                    <a:schemeClr val="tx1"/>
                  </a:solidFill>
                  <a:effectLst/>
                  <a:latin typeface="+mn-lt"/>
                  <a:ea typeface="+mn-ea"/>
                  <a:cs typeface="+mn-cs"/>
                </a:rPr>
                <a:t> </a:t>
              </a:r>
              <a:r>
                <a:rPr lang="en-US" sz="1100" i="1" baseline="0"/>
                <a:t> </a:t>
              </a:r>
              <a:r>
                <a:rPr lang="en-US" sz="1100" i="1"/>
                <a:t> </a:t>
              </a:r>
            </a:p>
          </xdr:txBody>
        </xdr:sp>
      </mc:Choice>
      <mc:Fallback xmlns="">
        <xdr:sp macro="" textlink="">
          <xdr:nvSpPr>
            <xdr:cNvPr id="6" name="TextBox 5">
              <a:extLst>
                <a:ext uri="{FF2B5EF4-FFF2-40B4-BE49-F238E27FC236}">
                  <a16:creationId xmlns:a16="http://schemas.microsoft.com/office/drawing/2014/main" id="{AE5C72E7-F06F-4FFC-BAFC-FF4FD2C12009}"/>
                </a:ext>
              </a:extLst>
            </xdr:cNvPr>
            <xdr:cNvSpPr txBox="1"/>
          </xdr:nvSpPr>
          <xdr:spPr>
            <a:xfrm>
              <a:off x="628650" y="2676525"/>
              <a:ext cx="4772025" cy="2626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en-US" sz="1100" b="0" i="0">
                  <a:latin typeface="Cambria Math" panose="02040503050406030204" pitchFamily="18" charset="0"/>
                </a:rPr>
                <a:t>𝐴𝑣𝑒𝑟𝑎𝑔𝑒 𝐷𝑟𝑦 𝑊𝑒𝑎𝑡ℎ𝑒𝑟 𝐹𝑙𝑜𝑤</a:t>
              </a:r>
              <a:r>
                <a:rPr lang="en-US" sz="1100" i="0">
                  <a:latin typeface="Cambria Math" panose="02040503050406030204" pitchFamily="18" charset="0"/>
                </a:rPr>
                <a:t>=</a:t>
              </a:r>
              <a:r>
                <a:rPr lang="en-US" sz="1100" b="0" i="0">
                  <a:latin typeface="Cambria Math" panose="02040503050406030204" pitchFamily="18" charset="0"/>
                </a:rPr>
                <a:t>((80 𝑔𝑎𝑙)/(𝑝𝑒𝑟𝑠𝑜𝑛−𝑑𝑎𝑦)</a:t>
              </a:r>
              <a:r>
                <a:rPr lang="en-US" sz="1100"/>
                <a:t> * (</a:t>
              </a:r>
              <a:r>
                <a:rPr lang="en-US" sz="1100" i="1"/>
                <a:t># of LUEs) *</a:t>
              </a:r>
              <a:r>
                <a:rPr lang="en-US" sz="1100" i="1" baseline="0"/>
                <a:t>  </a:t>
              </a:r>
              <a:r>
                <a:rPr lang="en-US" sz="1100" b="0" i="0">
                  <a:solidFill>
                    <a:schemeClr val="tx1"/>
                  </a:solidFill>
                  <a:effectLst/>
                  <a:latin typeface="Cambria Math" panose="02040503050406030204" pitchFamily="18" charset="0"/>
                  <a:ea typeface="+mn-ea"/>
                  <a:cs typeface="+mn-cs"/>
                </a:rPr>
                <a:t>(3.5 𝑃𝑒𝑜𝑝𝑙𝑒)/(24 ℎ𝑜𝑢𝑟𝑠 ∗60 𝑀𝑖𝑛𝑢𝑡𝑒𝑠)</a:t>
              </a:r>
              <a:r>
                <a:rPr lang="en-US" sz="1100">
                  <a:solidFill>
                    <a:schemeClr val="tx1"/>
                  </a:solidFill>
                  <a:effectLst/>
                  <a:latin typeface="+mn-lt"/>
                  <a:ea typeface="+mn-ea"/>
                  <a:cs typeface="+mn-cs"/>
                </a:rPr>
                <a:t> </a:t>
              </a:r>
              <a:r>
                <a:rPr lang="en-US" sz="1100" i="1" baseline="0"/>
                <a:t> </a:t>
              </a:r>
              <a:r>
                <a:rPr lang="en-US" sz="1100" i="1"/>
                <a:t> </a:t>
              </a:r>
            </a:p>
          </xdr:txBody>
        </xdr:sp>
      </mc:Fallback>
    </mc:AlternateContent>
    <xdr:clientData/>
  </xdr:oneCellAnchor>
  <xdr:oneCellAnchor>
    <xdr:from>
      <xdr:col>1</xdr:col>
      <xdr:colOff>1</xdr:colOff>
      <xdr:row>16</xdr:row>
      <xdr:rowOff>104775</xdr:rowOff>
    </xdr:from>
    <xdr:ext cx="3790950" cy="366062"/>
    <mc:AlternateContent xmlns:mc="http://schemas.openxmlformats.org/markup-compatibility/2006" xmlns:a14="http://schemas.microsoft.com/office/drawing/2010/main">
      <mc:Choice Requires="a14">
        <xdr:sp macro="" textlink="">
          <xdr:nvSpPr>
            <xdr:cNvPr id="9" name="TextBox 8">
              <a:extLst>
                <a:ext uri="{FF2B5EF4-FFF2-40B4-BE49-F238E27FC236}">
                  <a16:creationId xmlns:a16="http://schemas.microsoft.com/office/drawing/2014/main" id="{D6B73902-45D2-47DE-8FA8-83E8B6F4DA88}"/>
                </a:ext>
              </a:extLst>
            </xdr:cNvPr>
            <xdr:cNvSpPr txBox="1"/>
          </xdr:nvSpPr>
          <xdr:spPr>
            <a:xfrm>
              <a:off x="609601" y="3171825"/>
              <a:ext cx="3790950" cy="3660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panose="02040503050406030204" pitchFamily="18" charset="0"/>
                      </a:rPr>
                      <m:t>𝑃𝑒𝑎𝑘</m:t>
                    </m:r>
                    <m:r>
                      <a:rPr lang="en-US" sz="1100" b="0" i="1">
                        <a:latin typeface="Cambria Math" panose="02040503050406030204" pitchFamily="18" charset="0"/>
                      </a:rPr>
                      <m:t> </m:t>
                    </m:r>
                    <m:r>
                      <a:rPr lang="en-US" sz="1100" b="0" i="1">
                        <a:latin typeface="Cambria Math" panose="02040503050406030204" pitchFamily="18" charset="0"/>
                      </a:rPr>
                      <m:t>𝐷𝑟𝑦</m:t>
                    </m:r>
                    <m:r>
                      <a:rPr lang="en-US" sz="1100" b="0" i="1">
                        <a:latin typeface="Cambria Math" panose="02040503050406030204" pitchFamily="18" charset="0"/>
                      </a:rPr>
                      <m:t> </m:t>
                    </m:r>
                    <m:r>
                      <a:rPr lang="en-US" sz="1100" b="0" i="1">
                        <a:latin typeface="Cambria Math" panose="02040503050406030204" pitchFamily="18" charset="0"/>
                      </a:rPr>
                      <m:t>𝑊𝑒𝑎𝑡h𝑒𝑟</m:t>
                    </m:r>
                    <m:r>
                      <a:rPr lang="en-US" sz="1100" b="0" i="1">
                        <a:latin typeface="Cambria Math" panose="02040503050406030204" pitchFamily="18" charset="0"/>
                      </a:rPr>
                      <m:t> </m:t>
                    </m:r>
                    <m:r>
                      <a:rPr lang="en-US" sz="1100" b="0" i="1">
                        <a:latin typeface="Cambria Math" panose="02040503050406030204" pitchFamily="18" charset="0"/>
                      </a:rPr>
                      <m:t>𝐹𝑙𝑜𝑤</m:t>
                    </m:r>
                    <m:r>
                      <a:rPr lang="en-US" sz="1100" i="1">
                        <a:latin typeface="Cambria Math" panose="02040503050406030204" pitchFamily="18" charset="0"/>
                      </a:rPr>
                      <m:t>=</m:t>
                    </m:r>
                    <m:f>
                      <m:fPr>
                        <m:ctrlPr>
                          <a:rPr lang="en-US" sz="1100" b="0" i="1">
                            <a:latin typeface="Cambria Math" panose="02040503050406030204" pitchFamily="18" charset="0"/>
                          </a:rPr>
                        </m:ctrlPr>
                      </m:fPr>
                      <m:num>
                        <m:r>
                          <a:rPr lang="en-US" sz="1100" b="0" i="1">
                            <a:latin typeface="Cambria Math" panose="02040503050406030204" pitchFamily="18" charset="0"/>
                          </a:rPr>
                          <m:t>18 + </m:t>
                        </m:r>
                        <m:sSup>
                          <m:sSupPr>
                            <m:ctrlPr>
                              <a:rPr lang="en-US" sz="1100" b="0" i="1">
                                <a:latin typeface="Cambria Math" panose="02040503050406030204" pitchFamily="18" charset="0"/>
                              </a:rPr>
                            </m:ctrlPr>
                          </m:sSupPr>
                          <m:e>
                            <m:d>
                              <m:dPr>
                                <m:ctrlPr>
                                  <a:rPr lang="en-US" sz="1100" b="0" i="1">
                                    <a:latin typeface="Cambria Math" panose="02040503050406030204" pitchFamily="18" charset="0"/>
                                  </a:rPr>
                                </m:ctrlPr>
                              </m:dPr>
                              <m:e>
                                <m:r>
                                  <a:rPr lang="en-US" sz="1100" b="0" i="1">
                                    <a:latin typeface="Cambria Math" panose="02040503050406030204" pitchFamily="18" charset="0"/>
                                  </a:rPr>
                                  <m:t>0.018∗</m:t>
                                </m:r>
                                <m:r>
                                  <a:rPr lang="en-US" sz="1100" b="0" i="1">
                                    <a:latin typeface="Cambria Math" panose="02040503050406030204" pitchFamily="18" charset="0"/>
                                  </a:rPr>
                                  <m:t>𝐴𝐷𝑊𝐹</m:t>
                                </m:r>
                              </m:e>
                            </m:d>
                          </m:e>
                          <m:sup>
                            <m:r>
                              <a:rPr lang="en-US" sz="1100" b="0" i="1">
                                <a:latin typeface="Cambria Math" panose="02040503050406030204" pitchFamily="18" charset="0"/>
                              </a:rPr>
                              <m:t>0.5</m:t>
                            </m:r>
                          </m:sup>
                        </m:sSup>
                      </m:num>
                      <m:den>
                        <m:r>
                          <a:rPr lang="en-US" sz="1100" b="0" i="1">
                            <a:latin typeface="Cambria Math" panose="02040503050406030204" pitchFamily="18" charset="0"/>
                          </a:rPr>
                          <m:t>4+</m:t>
                        </m:r>
                        <m:sSup>
                          <m:sSupPr>
                            <m:ctrlPr>
                              <a:rPr lang="en-US" sz="1100" b="0" i="1">
                                <a:latin typeface="Cambria Math" panose="02040503050406030204" pitchFamily="18" charset="0"/>
                              </a:rPr>
                            </m:ctrlPr>
                          </m:sSupPr>
                          <m:e>
                            <m:d>
                              <m:dPr>
                                <m:ctrlPr>
                                  <a:rPr lang="en-US" sz="1100" b="0" i="1">
                                    <a:latin typeface="Cambria Math" panose="02040503050406030204" pitchFamily="18" charset="0"/>
                                  </a:rPr>
                                </m:ctrlPr>
                              </m:dPr>
                              <m:e>
                                <m:r>
                                  <a:rPr lang="en-US" sz="1100" b="0" i="1">
                                    <a:latin typeface="Cambria Math" panose="02040503050406030204" pitchFamily="18" charset="0"/>
                                  </a:rPr>
                                  <m:t>0.018 ∗</m:t>
                                </m:r>
                                <m:r>
                                  <a:rPr lang="en-US" sz="1100" b="0" i="1">
                                    <a:latin typeface="Cambria Math" panose="02040503050406030204" pitchFamily="18" charset="0"/>
                                  </a:rPr>
                                  <m:t>𝐴𝐷𝑊𝐹</m:t>
                                </m:r>
                              </m:e>
                            </m:d>
                          </m:e>
                          <m:sup>
                            <m:r>
                              <a:rPr lang="en-US" sz="1100" b="0" i="1">
                                <a:latin typeface="Cambria Math" panose="02040503050406030204" pitchFamily="18" charset="0"/>
                              </a:rPr>
                              <m:t>0.5</m:t>
                            </m:r>
                          </m:sup>
                        </m:sSup>
                      </m:den>
                    </m:f>
                    <m:r>
                      <a:rPr lang="en-US" sz="1100" b="0" i="1">
                        <a:latin typeface="Cambria Math" panose="02040503050406030204" pitchFamily="18" charset="0"/>
                      </a:rPr>
                      <m:t>∗</m:t>
                    </m:r>
                    <m:r>
                      <a:rPr lang="en-US" sz="1100" b="0" i="1">
                        <a:latin typeface="Cambria Math" panose="02040503050406030204" pitchFamily="18" charset="0"/>
                      </a:rPr>
                      <m:t>𝐴𝐷𝑊𝐹</m:t>
                    </m:r>
                  </m:oMath>
                </m:oMathPara>
              </a14:m>
              <a:endParaRPr lang="en-US" sz="1100" i="1"/>
            </a:p>
          </xdr:txBody>
        </xdr:sp>
      </mc:Choice>
      <mc:Fallback xmlns="">
        <xdr:sp macro="" textlink="">
          <xdr:nvSpPr>
            <xdr:cNvPr id="9" name="TextBox 8">
              <a:extLst>
                <a:ext uri="{FF2B5EF4-FFF2-40B4-BE49-F238E27FC236}">
                  <a16:creationId xmlns:a16="http://schemas.microsoft.com/office/drawing/2014/main" id="{D6B73902-45D2-47DE-8FA8-83E8B6F4DA88}"/>
                </a:ext>
              </a:extLst>
            </xdr:cNvPr>
            <xdr:cNvSpPr txBox="1"/>
          </xdr:nvSpPr>
          <xdr:spPr>
            <a:xfrm>
              <a:off x="609601" y="3171825"/>
              <a:ext cx="3790950" cy="3660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100" b="0" i="0">
                  <a:latin typeface="Cambria Math" panose="02040503050406030204" pitchFamily="18" charset="0"/>
                </a:rPr>
                <a:t>𝑃𝑒𝑎𝑘 𝐷𝑟𝑦 𝑊𝑒𝑎𝑡ℎ𝑒𝑟 𝐹𝑙𝑜𝑤</a:t>
              </a:r>
              <a:r>
                <a:rPr lang="en-US" sz="1100" i="0">
                  <a:latin typeface="Cambria Math" panose="02040503050406030204" pitchFamily="18" charset="0"/>
                </a:rPr>
                <a:t>=</a:t>
              </a:r>
              <a:r>
                <a:rPr lang="en-US" sz="1100" b="0" i="0">
                  <a:latin typeface="Cambria Math" panose="02040503050406030204" pitchFamily="18" charset="0"/>
                </a:rPr>
                <a:t>(18 + (0.018∗𝐴𝐷𝑊𝐹)^0.5)/(4+(0.018 ∗𝐴𝐷𝑊𝐹)^0.5 )∗𝐴𝐷𝑊𝐹</a:t>
              </a:r>
              <a:endParaRPr lang="en-US" sz="1100" i="1"/>
            </a:p>
          </xdr:txBody>
        </xdr:sp>
      </mc:Fallback>
    </mc:AlternateContent>
    <xdr:clientData/>
  </xdr:oneCellAnchor>
  <xdr:oneCellAnchor>
    <xdr:from>
      <xdr:col>1</xdr:col>
      <xdr:colOff>38100</xdr:colOff>
      <xdr:row>19</xdr:row>
      <xdr:rowOff>123825</xdr:rowOff>
    </xdr:from>
    <xdr:ext cx="3979040" cy="357277"/>
    <mc:AlternateContent xmlns:mc="http://schemas.openxmlformats.org/markup-compatibility/2006" xmlns:a14="http://schemas.microsoft.com/office/drawing/2010/main">
      <mc:Choice Requires="a14">
        <xdr:sp macro="" textlink="">
          <xdr:nvSpPr>
            <xdr:cNvPr id="10" name="TextBox 9">
              <a:extLst>
                <a:ext uri="{FF2B5EF4-FFF2-40B4-BE49-F238E27FC236}">
                  <a16:creationId xmlns:a16="http://schemas.microsoft.com/office/drawing/2014/main" id="{601800B7-ABCD-40A3-A5F4-B408CD84CD8A}"/>
                </a:ext>
              </a:extLst>
            </xdr:cNvPr>
            <xdr:cNvSpPr txBox="1"/>
          </xdr:nvSpPr>
          <xdr:spPr>
            <a:xfrm>
              <a:off x="647700" y="3762375"/>
              <a:ext cx="3979040" cy="3572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14:m>
                <m:oMath xmlns:m="http://schemas.openxmlformats.org/officeDocument/2006/math">
                  <m:r>
                    <a:rPr lang="en-US" sz="1100" b="0" i="1">
                      <a:latin typeface="Cambria Math" panose="02040503050406030204" pitchFamily="18" charset="0"/>
                    </a:rPr>
                    <m:t>𝐼𝑛𝑓𝑙𝑜𝑤</m:t>
                  </m:r>
                  <m:r>
                    <a:rPr lang="en-US" sz="1100" b="0" i="1">
                      <a:latin typeface="Cambria Math" panose="02040503050406030204" pitchFamily="18" charset="0"/>
                    </a:rPr>
                    <m:t> &amp; </m:t>
                  </m:r>
                  <m:r>
                    <a:rPr lang="en-US" sz="1100" b="0" i="1">
                      <a:latin typeface="Cambria Math" panose="02040503050406030204" pitchFamily="18" charset="0"/>
                    </a:rPr>
                    <m:t>𝐼𝑛𝑓𝑖𝑙𝑡𝑟𝑎𝑡𝑖𝑜𝑛</m:t>
                  </m:r>
                  <m:r>
                    <a:rPr lang="en-US" sz="1100" i="1">
                      <a:latin typeface="Cambria Math" panose="02040503050406030204" pitchFamily="18" charset="0"/>
                    </a:rPr>
                    <m:t>=</m:t>
                  </m:r>
                  <m:f>
                    <m:fPr>
                      <m:ctrlPr>
                        <a:rPr lang="en-US" sz="1100" b="0" i="1">
                          <a:latin typeface="Cambria Math" panose="02040503050406030204" pitchFamily="18" charset="0"/>
                        </a:rPr>
                      </m:ctrlPr>
                    </m:fPr>
                    <m:num>
                      <m:d>
                        <m:dPr>
                          <m:ctrlPr>
                            <a:rPr lang="en-US" sz="1100" b="0" i="1">
                              <a:latin typeface="Cambria Math" panose="02040503050406030204" pitchFamily="18" charset="0"/>
                            </a:rPr>
                          </m:ctrlPr>
                        </m:dPr>
                        <m:e>
                          <m:r>
                            <a:rPr lang="en-US" sz="1100" b="0" i="1">
                              <a:latin typeface="Cambria Math" panose="02040503050406030204" pitchFamily="18" charset="0"/>
                            </a:rPr>
                            <m:t>750</m:t>
                          </m:r>
                          <m:f>
                            <m:fPr>
                              <m:ctrlPr>
                                <a:rPr lang="en-US" sz="1100" b="0" i="1">
                                  <a:solidFill>
                                    <a:schemeClr val="tx1"/>
                                  </a:solidFill>
                                  <a:effectLst/>
                                  <a:latin typeface="Cambria Math" panose="02040503050406030204" pitchFamily="18" charset="0"/>
                                  <a:ea typeface="+mn-ea"/>
                                  <a:cs typeface="+mn-cs"/>
                                </a:rPr>
                              </m:ctrlPr>
                            </m:fPr>
                            <m:num>
                              <m:r>
                                <a:rPr lang="en-US" sz="1100" b="0" i="1">
                                  <a:solidFill>
                                    <a:schemeClr val="tx1"/>
                                  </a:solidFill>
                                  <a:effectLst/>
                                  <a:latin typeface="Cambria Math" panose="02040503050406030204" pitchFamily="18" charset="0"/>
                                  <a:ea typeface="+mn-ea"/>
                                  <a:cs typeface="+mn-cs"/>
                                </a:rPr>
                                <m:t>𝑔𝑎𝑙</m:t>
                              </m:r>
                            </m:num>
                            <m:den>
                              <m:r>
                                <a:rPr lang="en-US" sz="1100" b="0" i="1">
                                  <a:solidFill>
                                    <a:schemeClr val="tx1"/>
                                  </a:solidFill>
                                  <a:effectLst/>
                                  <a:latin typeface="Cambria Math" panose="02040503050406030204" pitchFamily="18" charset="0"/>
                                  <a:ea typeface="+mn-ea"/>
                                  <a:cs typeface="+mn-cs"/>
                                </a:rPr>
                                <m:t>𝑎𝑐𝑟𝑒</m:t>
                              </m:r>
                              <m:r>
                                <a:rPr lang="en-US" sz="1100" b="0" i="1">
                                  <a:solidFill>
                                    <a:schemeClr val="tx1"/>
                                  </a:solidFill>
                                  <a:effectLst/>
                                  <a:latin typeface="Cambria Math" panose="02040503050406030204" pitchFamily="18" charset="0"/>
                                  <a:ea typeface="+mn-ea"/>
                                  <a:cs typeface="+mn-cs"/>
                                </a:rPr>
                                <m:t>−</m:t>
                              </m:r>
                              <m:r>
                                <a:rPr lang="en-US" sz="1100" b="0" i="1">
                                  <a:solidFill>
                                    <a:schemeClr val="tx1"/>
                                  </a:solidFill>
                                  <a:effectLst/>
                                  <a:latin typeface="Cambria Math" panose="02040503050406030204" pitchFamily="18" charset="0"/>
                                  <a:ea typeface="+mn-ea"/>
                                  <a:cs typeface="+mn-cs"/>
                                </a:rPr>
                                <m:t>𝑑𝑎𝑦</m:t>
                              </m:r>
                            </m:den>
                          </m:f>
                          <m:r>
                            <a:rPr lang="en-US" sz="1100" b="0" i="1">
                              <a:solidFill>
                                <a:schemeClr val="tx1"/>
                              </a:solidFill>
                              <a:effectLst/>
                              <a:latin typeface="Cambria Math" panose="02040503050406030204" pitchFamily="18" charset="0"/>
                              <a:ea typeface="+mn-ea"/>
                              <a:cs typeface="+mn-cs"/>
                            </a:rPr>
                            <m:t> ∗ </m:t>
                          </m:r>
                          <m:r>
                            <a:rPr lang="en-US" sz="1100" b="0" i="1">
                              <a:solidFill>
                                <a:schemeClr val="tx1"/>
                              </a:solidFill>
                              <a:effectLst/>
                              <a:latin typeface="Cambria Math" panose="02040503050406030204" pitchFamily="18" charset="0"/>
                              <a:ea typeface="+mn-ea"/>
                              <a:cs typeface="+mn-cs"/>
                            </a:rPr>
                            <m:t>𝐴𝑟𝑒𝑎</m:t>
                          </m:r>
                        </m:e>
                      </m:d>
                    </m:num>
                    <m:den>
                      <m:d>
                        <m:dPr>
                          <m:ctrlPr>
                            <a:rPr lang="en-US" sz="1100" b="0" i="1">
                              <a:latin typeface="Cambria Math" panose="02040503050406030204" pitchFamily="18" charset="0"/>
                            </a:rPr>
                          </m:ctrlPr>
                        </m:dPr>
                        <m:e>
                          <m:r>
                            <a:rPr lang="en-US" sz="1100" b="0" i="1">
                              <a:latin typeface="Cambria Math" panose="02040503050406030204" pitchFamily="18" charset="0"/>
                            </a:rPr>
                            <m:t>24 </m:t>
                          </m:r>
                          <m:r>
                            <a:rPr lang="en-US" sz="1100" b="0" i="1">
                              <a:latin typeface="Cambria Math" panose="02040503050406030204" pitchFamily="18" charset="0"/>
                            </a:rPr>
                            <m:t>𝐻𝑜𝑢𝑟𝑠</m:t>
                          </m:r>
                          <m:r>
                            <a:rPr lang="en-US" sz="1100" b="0" i="1">
                              <a:latin typeface="Cambria Math" panose="02040503050406030204" pitchFamily="18" charset="0"/>
                            </a:rPr>
                            <m:t> ∗60 </m:t>
                          </m:r>
                          <m:r>
                            <a:rPr lang="en-US" sz="1100" b="0" i="1">
                              <a:latin typeface="Cambria Math" panose="02040503050406030204" pitchFamily="18" charset="0"/>
                            </a:rPr>
                            <m:t>𝑀𝑖𝑛𝑢𝑡𝑒𝑠</m:t>
                          </m:r>
                        </m:e>
                      </m:d>
                    </m:den>
                  </m:f>
                </m:oMath>
              </a14:m>
              <a:r>
                <a:rPr lang="en-US" sz="1100" baseline="0"/>
                <a:t> </a:t>
              </a:r>
              <a:endParaRPr lang="en-US" sz="1100"/>
            </a:p>
          </xdr:txBody>
        </xdr:sp>
      </mc:Choice>
      <mc:Fallback xmlns="">
        <xdr:sp macro="" textlink="">
          <xdr:nvSpPr>
            <xdr:cNvPr id="10" name="TextBox 9">
              <a:extLst>
                <a:ext uri="{FF2B5EF4-FFF2-40B4-BE49-F238E27FC236}">
                  <a16:creationId xmlns:a16="http://schemas.microsoft.com/office/drawing/2014/main" id="{601800B7-ABCD-40A3-A5F4-B408CD84CD8A}"/>
                </a:ext>
              </a:extLst>
            </xdr:cNvPr>
            <xdr:cNvSpPr txBox="1"/>
          </xdr:nvSpPr>
          <xdr:spPr>
            <a:xfrm>
              <a:off x="647700" y="3762375"/>
              <a:ext cx="3979040" cy="3572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en-US" sz="1100" b="0" i="0">
                  <a:latin typeface="Cambria Math" panose="02040503050406030204" pitchFamily="18" charset="0"/>
                </a:rPr>
                <a:t>𝐼𝑛𝑓𝑙𝑜𝑤 &amp; 𝐼𝑛𝑓𝑖𝑙𝑡𝑟𝑎𝑡𝑖𝑜𝑛</a:t>
              </a:r>
              <a:r>
                <a:rPr lang="en-US" sz="1100" i="0">
                  <a:latin typeface="Cambria Math" panose="02040503050406030204" pitchFamily="18" charset="0"/>
                </a:rPr>
                <a:t>=</a:t>
              </a:r>
              <a:r>
                <a:rPr lang="en-US" sz="1100" b="0" i="0">
                  <a:latin typeface="Cambria Math" panose="02040503050406030204" pitchFamily="18" charset="0"/>
                </a:rPr>
                <a:t>((750</a:t>
              </a:r>
              <a:r>
                <a:rPr lang="en-US" sz="1100" b="0" i="0">
                  <a:solidFill>
                    <a:schemeClr val="tx1"/>
                  </a:solidFill>
                  <a:effectLst/>
                  <a:latin typeface="Cambria Math" panose="02040503050406030204" pitchFamily="18" charset="0"/>
                  <a:ea typeface="+mn-ea"/>
                  <a:cs typeface="+mn-cs"/>
                </a:rPr>
                <a:t> 𝑔𝑎𝑙/(𝑎𝑐𝑟𝑒−𝑑𝑎𝑦)  ∗ 𝐴𝑟𝑒𝑎))/((</a:t>
              </a:r>
              <a:r>
                <a:rPr lang="en-US" sz="1100" b="0" i="0">
                  <a:latin typeface="Cambria Math" panose="02040503050406030204" pitchFamily="18" charset="0"/>
                </a:rPr>
                <a:t>24 𝐻𝑜𝑢𝑟𝑠 ∗60 𝑀𝑖𝑛𝑢𝑡𝑒𝑠) )</a:t>
              </a:r>
              <a:r>
                <a:rPr lang="en-US" sz="1100" baseline="0"/>
                <a:t> </a:t>
              </a:r>
              <a:endParaRPr lang="en-US" sz="1100"/>
            </a:p>
          </xdr:txBody>
        </xdr:sp>
      </mc:Fallback>
    </mc:AlternateContent>
    <xdr:clientData/>
  </xdr:oneCellAnchor>
  <xdr:oneCellAnchor>
    <xdr:from>
      <xdr:col>1</xdr:col>
      <xdr:colOff>9525</xdr:colOff>
      <xdr:row>22</xdr:row>
      <xdr:rowOff>66675</xdr:rowOff>
    </xdr:from>
    <xdr:ext cx="3495675" cy="380361"/>
    <mc:AlternateContent xmlns:mc="http://schemas.openxmlformats.org/markup-compatibility/2006" xmlns:a14="http://schemas.microsoft.com/office/drawing/2010/main">
      <mc:Choice Requires="a14">
        <xdr:sp macro="" textlink="">
          <xdr:nvSpPr>
            <xdr:cNvPr id="11" name="TextBox 10">
              <a:extLst>
                <a:ext uri="{FF2B5EF4-FFF2-40B4-BE49-F238E27FC236}">
                  <a16:creationId xmlns:a16="http://schemas.microsoft.com/office/drawing/2014/main" id="{49B331C1-FF34-4004-ABEB-9777AEBF3A8D}"/>
                </a:ext>
              </a:extLst>
            </xdr:cNvPr>
            <xdr:cNvSpPr txBox="1"/>
          </xdr:nvSpPr>
          <xdr:spPr>
            <a:xfrm>
              <a:off x="619125" y="4276725"/>
              <a:ext cx="3495675"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panose="02040503050406030204" pitchFamily="18" charset="0"/>
                      </a:rPr>
                      <m:t>𝑉𝑒𝑙𝑜𝑐𝑖𝑡𝑦</m:t>
                    </m:r>
                    <m:r>
                      <a:rPr lang="en-US" sz="1100" i="1">
                        <a:latin typeface="Cambria Math" panose="02040503050406030204" pitchFamily="18" charset="0"/>
                      </a:rPr>
                      <m:t>=</m:t>
                    </m:r>
                    <m:d>
                      <m:dPr>
                        <m:ctrlPr>
                          <a:rPr lang="en-US" sz="1100" b="0" i="1">
                            <a:latin typeface="Cambria Math" panose="02040503050406030204" pitchFamily="18" charset="0"/>
                          </a:rPr>
                        </m:ctrlPr>
                      </m:dPr>
                      <m:e>
                        <m:f>
                          <m:fPr>
                            <m:ctrlPr>
                              <a:rPr lang="en-US" sz="1100" b="0" i="1">
                                <a:latin typeface="Cambria Math" panose="02040503050406030204" pitchFamily="18" charset="0"/>
                              </a:rPr>
                            </m:ctrlPr>
                          </m:fPr>
                          <m:num>
                            <m:r>
                              <a:rPr lang="en-US" sz="1100" b="0" i="1">
                                <a:latin typeface="Cambria Math" panose="02040503050406030204" pitchFamily="18" charset="0"/>
                              </a:rPr>
                              <m:t>1.49</m:t>
                            </m:r>
                          </m:num>
                          <m:den>
                            <m:r>
                              <a:rPr lang="en-US" sz="1100" b="0" i="1">
                                <a:latin typeface="Cambria Math" panose="02040503050406030204" pitchFamily="18" charset="0"/>
                              </a:rPr>
                              <m:t>0.013</m:t>
                            </m:r>
                          </m:den>
                        </m:f>
                      </m:e>
                    </m:d>
                    <m:r>
                      <a:rPr lang="en-US" sz="1100" b="0" i="1">
                        <a:latin typeface="Cambria Math" panose="02040503050406030204" pitchFamily="18" charset="0"/>
                      </a:rPr>
                      <m:t>∗</m:t>
                    </m:r>
                    <m:r>
                      <a:rPr lang="en-US" sz="1100" b="0" i="1">
                        <a:latin typeface="Cambria Math" panose="02040503050406030204" pitchFamily="18" charset="0"/>
                      </a:rPr>
                      <m:t>𝐻𝑦𝑑𝑟𝑎𝑢𝑙𝑖𝑐</m:t>
                    </m:r>
                    <m:r>
                      <a:rPr lang="en-US" sz="1100" b="0" i="1">
                        <a:latin typeface="Cambria Math" panose="02040503050406030204" pitchFamily="18" charset="0"/>
                      </a:rPr>
                      <m:t> </m:t>
                    </m:r>
                    <m:r>
                      <a:rPr lang="en-US" sz="1100" b="0" i="1">
                        <a:latin typeface="Cambria Math" panose="02040503050406030204" pitchFamily="18" charset="0"/>
                      </a:rPr>
                      <m:t>𝑅𝑎𝑑𝑖𝑢</m:t>
                    </m:r>
                    <m:sSup>
                      <m:sSupPr>
                        <m:ctrlPr>
                          <a:rPr lang="en-US" sz="1100" b="0" i="1">
                            <a:latin typeface="Cambria Math" panose="02040503050406030204" pitchFamily="18" charset="0"/>
                          </a:rPr>
                        </m:ctrlPr>
                      </m:sSupPr>
                      <m:e>
                        <m:r>
                          <a:rPr lang="en-US" sz="1100" b="0" i="1">
                            <a:latin typeface="Cambria Math" panose="02040503050406030204" pitchFamily="18" charset="0"/>
                          </a:rPr>
                          <m:t>𝑠</m:t>
                        </m:r>
                      </m:e>
                      <m:sup>
                        <m:r>
                          <a:rPr lang="en-US" sz="1100" b="0" i="1">
                            <a:latin typeface="Cambria Math" panose="02040503050406030204" pitchFamily="18" charset="0"/>
                          </a:rPr>
                          <m:t>0.67</m:t>
                        </m:r>
                      </m:sup>
                    </m:sSup>
                    <m:r>
                      <a:rPr lang="en-US" sz="1100" b="0" i="1">
                        <a:latin typeface="Cambria Math" panose="02040503050406030204" pitchFamily="18" charset="0"/>
                      </a:rPr>
                      <m:t> ∗% </m:t>
                    </m:r>
                    <m:r>
                      <a:rPr lang="en-US" sz="1100" b="0" i="1">
                        <a:latin typeface="Cambria Math" panose="02040503050406030204" pitchFamily="18" charset="0"/>
                      </a:rPr>
                      <m:t>𝑠𝑙𝑜𝑝</m:t>
                    </m:r>
                    <m:sSup>
                      <m:sSupPr>
                        <m:ctrlPr>
                          <a:rPr lang="en-US" sz="1100" b="0" i="1">
                            <a:latin typeface="Cambria Math" panose="02040503050406030204" pitchFamily="18" charset="0"/>
                          </a:rPr>
                        </m:ctrlPr>
                      </m:sSupPr>
                      <m:e>
                        <m:r>
                          <a:rPr lang="en-US" sz="1100" b="0" i="1">
                            <a:latin typeface="Cambria Math" panose="02040503050406030204" pitchFamily="18" charset="0"/>
                          </a:rPr>
                          <m:t>𝑒</m:t>
                        </m:r>
                      </m:e>
                      <m:sup>
                        <m:r>
                          <a:rPr lang="en-US" sz="1100" b="0" i="0">
                            <a:latin typeface="Cambria Math" panose="02040503050406030204" pitchFamily="18" charset="0"/>
                          </a:rPr>
                          <m:t>0.5</m:t>
                        </m:r>
                      </m:sup>
                    </m:sSup>
                  </m:oMath>
                </m:oMathPara>
              </a14:m>
              <a:endParaRPr lang="en-US" sz="1100"/>
            </a:p>
          </xdr:txBody>
        </xdr:sp>
      </mc:Choice>
      <mc:Fallback xmlns="">
        <xdr:sp macro="" textlink="">
          <xdr:nvSpPr>
            <xdr:cNvPr id="11" name="TextBox 10">
              <a:extLst>
                <a:ext uri="{FF2B5EF4-FFF2-40B4-BE49-F238E27FC236}">
                  <a16:creationId xmlns:a16="http://schemas.microsoft.com/office/drawing/2014/main" id="{49B331C1-FF34-4004-ABEB-9777AEBF3A8D}"/>
                </a:ext>
              </a:extLst>
            </xdr:cNvPr>
            <xdr:cNvSpPr txBox="1"/>
          </xdr:nvSpPr>
          <xdr:spPr>
            <a:xfrm>
              <a:off x="619125" y="4276725"/>
              <a:ext cx="3495675"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100" b="0" i="0">
                  <a:latin typeface="Cambria Math" panose="02040503050406030204" pitchFamily="18" charset="0"/>
                </a:rPr>
                <a:t>𝑉𝑒𝑙𝑜𝑐𝑖𝑡𝑦</a:t>
              </a:r>
              <a:r>
                <a:rPr lang="en-US" sz="1100" i="0">
                  <a:latin typeface="Cambria Math" panose="02040503050406030204" pitchFamily="18" charset="0"/>
                </a:rPr>
                <a:t>=</a:t>
              </a:r>
              <a:r>
                <a:rPr lang="en-US" sz="1100" b="0" i="0">
                  <a:latin typeface="Cambria Math" panose="02040503050406030204" pitchFamily="18" charset="0"/>
                </a:rPr>
                <a:t>(1.49/0.013)∗𝐻𝑦𝑑𝑟𝑎𝑢𝑙𝑖𝑐 𝑅𝑎𝑑𝑖𝑢𝑠^0.67  ∗% 𝑠𝑙𝑜𝑝𝑒^0.5</a:t>
              </a:r>
              <a:endParaRPr lang="en-US" sz="1100"/>
            </a:p>
          </xdr:txBody>
        </xdr:sp>
      </mc:Fallback>
    </mc:AlternateContent>
    <xdr:clientData/>
  </xdr:oneCellAnchor>
  <xdr:oneCellAnchor>
    <xdr:from>
      <xdr:col>1</xdr:col>
      <xdr:colOff>9525</xdr:colOff>
      <xdr:row>25</xdr:row>
      <xdr:rowOff>38100</xdr:rowOff>
    </xdr:from>
    <xdr:ext cx="2971800" cy="351058"/>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A2CF31BA-1678-4064-A313-731E208926E6}"/>
                </a:ext>
              </a:extLst>
            </xdr:cNvPr>
            <xdr:cNvSpPr txBox="1"/>
          </xdr:nvSpPr>
          <xdr:spPr>
            <a:xfrm>
              <a:off x="619125" y="4819650"/>
              <a:ext cx="2971800" cy="351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panose="02040503050406030204" pitchFamily="18" charset="0"/>
                      </a:rPr>
                      <m:t>𝐹𝑢𝑙𝑙</m:t>
                    </m:r>
                    <m:r>
                      <a:rPr lang="en-US" sz="1100" b="0" i="1">
                        <a:latin typeface="Cambria Math" panose="02040503050406030204" pitchFamily="18" charset="0"/>
                      </a:rPr>
                      <m:t> </m:t>
                    </m:r>
                    <m:r>
                      <a:rPr lang="en-US" sz="1100" b="0" i="1">
                        <a:latin typeface="Cambria Math" panose="02040503050406030204" pitchFamily="18" charset="0"/>
                      </a:rPr>
                      <m:t>𝐹𝑙𝑜𝑤</m:t>
                    </m:r>
                    <m:r>
                      <a:rPr lang="en-US" sz="1100" i="1">
                        <a:latin typeface="Cambria Math" panose="02040503050406030204" pitchFamily="18" charset="0"/>
                      </a:rPr>
                      <m:t>=</m:t>
                    </m:r>
                    <m:f>
                      <m:fPr>
                        <m:ctrlPr>
                          <a:rPr lang="en-US" sz="1100" b="0" i="1">
                            <a:latin typeface="Cambria Math" panose="02040503050406030204" pitchFamily="18" charset="0"/>
                          </a:rPr>
                        </m:ctrlPr>
                      </m:fPr>
                      <m:num>
                        <m:r>
                          <a:rPr lang="en-US" sz="1100" b="0" i="1">
                            <a:latin typeface="Cambria Math" panose="02040503050406030204" pitchFamily="18" charset="0"/>
                          </a:rPr>
                          <m:t>𝑃𝑖𝑝𝑒</m:t>
                        </m:r>
                        <m:r>
                          <a:rPr lang="en-US" sz="1100" b="0" i="1">
                            <a:latin typeface="Cambria Math" panose="02040503050406030204" pitchFamily="18" charset="0"/>
                          </a:rPr>
                          <m:t> </m:t>
                        </m:r>
                        <m:r>
                          <a:rPr lang="en-US" sz="1100" b="0" i="1">
                            <a:latin typeface="Cambria Math" panose="02040503050406030204" pitchFamily="18" charset="0"/>
                          </a:rPr>
                          <m:t>𝐴𝑟𝑒𝑎</m:t>
                        </m:r>
                        <m:r>
                          <a:rPr lang="en-US" sz="1100" b="0" i="1">
                            <a:latin typeface="Cambria Math" panose="02040503050406030204" pitchFamily="18" charset="0"/>
                          </a:rPr>
                          <m:t> ∗</m:t>
                        </m:r>
                        <m:r>
                          <a:rPr lang="en-US" sz="1100" b="0" i="1">
                            <a:latin typeface="Cambria Math" panose="02040503050406030204" pitchFamily="18" charset="0"/>
                          </a:rPr>
                          <m:t>𝑉𝑒𝑙𝑜𝑐𝑖𝑡𝑦</m:t>
                        </m:r>
                        <m:r>
                          <a:rPr lang="en-US" sz="1100" b="0" i="1">
                            <a:latin typeface="Cambria Math" panose="02040503050406030204" pitchFamily="18" charset="0"/>
                          </a:rPr>
                          <m:t> ∗60 </m:t>
                        </m:r>
                        <m:r>
                          <a:rPr lang="en-US" sz="1100" b="0" i="1">
                            <a:latin typeface="Cambria Math" panose="02040503050406030204" pitchFamily="18" charset="0"/>
                          </a:rPr>
                          <m:t>𝑠𝑒𝑐𝑜𝑛𝑑𝑠</m:t>
                        </m:r>
                      </m:num>
                      <m:den>
                        <m:r>
                          <a:rPr lang="en-US" sz="1100" b="0" i="1">
                            <a:latin typeface="Cambria Math" panose="02040503050406030204" pitchFamily="18" charset="0"/>
                          </a:rPr>
                          <m:t>0.133681 </m:t>
                        </m:r>
                        <m:r>
                          <a:rPr lang="en-US" sz="1100" b="0" i="1">
                            <a:latin typeface="Cambria Math" panose="02040503050406030204" pitchFamily="18" charset="0"/>
                          </a:rPr>
                          <m:t>𝑓</m:t>
                        </m:r>
                        <m:sSup>
                          <m:sSupPr>
                            <m:ctrlPr>
                              <a:rPr lang="en-US" sz="1100" b="0" i="1">
                                <a:latin typeface="Cambria Math" panose="02040503050406030204" pitchFamily="18" charset="0"/>
                              </a:rPr>
                            </m:ctrlPr>
                          </m:sSupPr>
                          <m:e>
                            <m:r>
                              <a:rPr lang="en-US" sz="1100" b="0" i="1">
                                <a:latin typeface="Cambria Math" panose="02040503050406030204" pitchFamily="18" charset="0"/>
                              </a:rPr>
                              <m:t>𝑡</m:t>
                            </m:r>
                          </m:e>
                          <m:sup>
                            <m:r>
                              <a:rPr lang="en-US" sz="1100" b="0" i="1">
                                <a:latin typeface="Cambria Math" panose="02040503050406030204" pitchFamily="18" charset="0"/>
                              </a:rPr>
                              <m:t>3</m:t>
                            </m:r>
                          </m:sup>
                        </m:sSup>
                      </m:den>
                    </m:f>
                  </m:oMath>
                </m:oMathPara>
              </a14:m>
              <a:endParaRPr lang="en-US" sz="1100"/>
            </a:p>
          </xdr:txBody>
        </xdr:sp>
      </mc:Choice>
      <mc:Fallback xmlns="">
        <xdr:sp macro="" textlink="">
          <xdr:nvSpPr>
            <xdr:cNvPr id="12" name="TextBox 11">
              <a:extLst>
                <a:ext uri="{FF2B5EF4-FFF2-40B4-BE49-F238E27FC236}">
                  <a16:creationId xmlns:a16="http://schemas.microsoft.com/office/drawing/2014/main" id="{A2CF31BA-1678-4064-A313-731E208926E6}"/>
                </a:ext>
              </a:extLst>
            </xdr:cNvPr>
            <xdr:cNvSpPr txBox="1"/>
          </xdr:nvSpPr>
          <xdr:spPr>
            <a:xfrm>
              <a:off x="619125" y="4819650"/>
              <a:ext cx="2971800" cy="351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100" b="0" i="0">
                  <a:latin typeface="Cambria Math" panose="02040503050406030204" pitchFamily="18" charset="0"/>
                </a:rPr>
                <a:t>𝐹𝑢𝑙𝑙 𝐹𝑙𝑜𝑤</a:t>
              </a:r>
              <a:r>
                <a:rPr lang="en-US" sz="1100" i="0">
                  <a:latin typeface="Cambria Math" panose="02040503050406030204" pitchFamily="18" charset="0"/>
                </a:rPr>
                <a:t>=</a:t>
              </a:r>
              <a:r>
                <a:rPr lang="en-US" sz="1100" b="0" i="0">
                  <a:latin typeface="Cambria Math" panose="02040503050406030204" pitchFamily="18" charset="0"/>
                </a:rPr>
                <a:t>(𝑃𝑖𝑝𝑒 𝐴𝑟𝑒𝑎 ∗𝑉𝑒𝑙𝑜𝑐𝑖𝑡𝑦 ∗60 𝑠𝑒𝑐𝑜𝑛𝑑𝑠)/(0.133681 𝑓𝑡^3 )</a:t>
              </a:r>
              <a:endParaRPr lang="en-US" sz="1100"/>
            </a:p>
          </xdr:txBody>
        </xdr:sp>
      </mc:Fallback>
    </mc:AlternateContent>
    <xdr:clientData/>
  </xdr:oneCellAnchor>
  <xdr:oneCellAnchor>
    <xdr:from>
      <xdr:col>0</xdr:col>
      <xdr:colOff>600075</xdr:colOff>
      <xdr:row>27</xdr:row>
      <xdr:rowOff>152400</xdr:rowOff>
    </xdr:from>
    <xdr:ext cx="4816895" cy="172227"/>
    <mc:AlternateContent xmlns:mc="http://schemas.openxmlformats.org/markup-compatibility/2006" xmlns:a14="http://schemas.microsoft.com/office/drawing/2010/main">
      <mc:Choice Requires="a14">
        <xdr:sp macro="" textlink="">
          <xdr:nvSpPr>
            <xdr:cNvPr id="13" name="TextBox 12">
              <a:extLst>
                <a:ext uri="{FF2B5EF4-FFF2-40B4-BE49-F238E27FC236}">
                  <a16:creationId xmlns:a16="http://schemas.microsoft.com/office/drawing/2014/main" id="{ABE76D69-C76E-41F5-BBDC-810CE125971C}"/>
                </a:ext>
              </a:extLst>
            </xdr:cNvPr>
            <xdr:cNvSpPr txBox="1"/>
          </xdr:nvSpPr>
          <xdr:spPr>
            <a:xfrm>
              <a:off x="600075" y="5314950"/>
              <a:ext cx="481689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panose="02040503050406030204" pitchFamily="18" charset="0"/>
                      </a:rPr>
                      <m:t>𝑃𝑒𝑎𝑘</m:t>
                    </m:r>
                    <m:r>
                      <a:rPr lang="en-US" sz="1100" b="0" i="1">
                        <a:latin typeface="Cambria Math" panose="02040503050406030204" pitchFamily="18" charset="0"/>
                      </a:rPr>
                      <m:t> </m:t>
                    </m:r>
                    <m:r>
                      <a:rPr lang="en-US" sz="1100" b="0" i="1">
                        <a:latin typeface="Cambria Math" panose="02040503050406030204" pitchFamily="18" charset="0"/>
                      </a:rPr>
                      <m:t>𝑊𝑒𝑡</m:t>
                    </m:r>
                    <m:r>
                      <a:rPr lang="en-US" sz="1100" b="0" i="1">
                        <a:latin typeface="Cambria Math" panose="02040503050406030204" pitchFamily="18" charset="0"/>
                      </a:rPr>
                      <m:t> </m:t>
                    </m:r>
                    <m:r>
                      <a:rPr lang="en-US" sz="1100" b="0" i="1">
                        <a:latin typeface="Cambria Math" panose="02040503050406030204" pitchFamily="18" charset="0"/>
                      </a:rPr>
                      <m:t>𝑊𝑒𝑎𝑡h𝑒𝑟</m:t>
                    </m:r>
                    <m:r>
                      <a:rPr lang="en-US" sz="1100" b="0" i="1">
                        <a:latin typeface="Cambria Math" panose="02040503050406030204" pitchFamily="18" charset="0"/>
                      </a:rPr>
                      <m:t> </m:t>
                    </m:r>
                    <m:r>
                      <a:rPr lang="en-US" sz="1100" b="0" i="1">
                        <a:latin typeface="Cambria Math" panose="02040503050406030204" pitchFamily="18" charset="0"/>
                      </a:rPr>
                      <m:t>𝐹𝑙𝑜𝑤</m:t>
                    </m:r>
                    <m:r>
                      <a:rPr lang="en-US" sz="1100" i="1">
                        <a:latin typeface="Cambria Math" panose="02040503050406030204" pitchFamily="18" charset="0"/>
                      </a:rPr>
                      <m:t>=</m:t>
                    </m:r>
                    <m:r>
                      <a:rPr lang="en-US" sz="1100" b="0" i="1">
                        <a:latin typeface="Cambria Math" panose="02040503050406030204" pitchFamily="18" charset="0"/>
                      </a:rPr>
                      <m:t>𝑃𝑒𝑎𝑘</m:t>
                    </m:r>
                    <m:r>
                      <a:rPr lang="en-US" sz="1100" b="0" i="1">
                        <a:latin typeface="Cambria Math" panose="02040503050406030204" pitchFamily="18" charset="0"/>
                      </a:rPr>
                      <m:t> </m:t>
                    </m:r>
                    <m:r>
                      <a:rPr lang="en-US" sz="1100" b="0" i="1">
                        <a:latin typeface="Cambria Math" panose="02040503050406030204" pitchFamily="18" charset="0"/>
                      </a:rPr>
                      <m:t>𝐷𝑟𝑦</m:t>
                    </m:r>
                    <m:r>
                      <a:rPr lang="en-US" sz="1100" b="0" i="1">
                        <a:latin typeface="Cambria Math" panose="02040503050406030204" pitchFamily="18" charset="0"/>
                      </a:rPr>
                      <m:t> </m:t>
                    </m:r>
                    <m:r>
                      <a:rPr lang="en-US" sz="1100" b="0" i="1">
                        <a:latin typeface="Cambria Math" panose="02040503050406030204" pitchFamily="18" charset="0"/>
                      </a:rPr>
                      <m:t>𝑊𝑒𝑎𝑡h𝑒𝑟</m:t>
                    </m:r>
                    <m:r>
                      <a:rPr lang="en-US" sz="1100" b="0" i="1">
                        <a:latin typeface="Cambria Math" panose="02040503050406030204" pitchFamily="18" charset="0"/>
                      </a:rPr>
                      <m:t> </m:t>
                    </m:r>
                    <m:r>
                      <a:rPr lang="en-US" sz="1100" b="0" i="1">
                        <a:latin typeface="Cambria Math" panose="02040503050406030204" pitchFamily="18" charset="0"/>
                      </a:rPr>
                      <m:t>𝐹𝑙𝑜𝑤</m:t>
                    </m:r>
                    <m:r>
                      <a:rPr lang="en-US" sz="1100" b="0" i="1">
                        <a:latin typeface="Cambria Math" panose="02040503050406030204" pitchFamily="18" charset="0"/>
                      </a:rPr>
                      <m:t>+</m:t>
                    </m:r>
                    <m:r>
                      <a:rPr lang="en-US" sz="1100" b="0" i="1">
                        <a:latin typeface="Cambria Math" panose="02040503050406030204" pitchFamily="18" charset="0"/>
                      </a:rPr>
                      <m:t>𝐼𝑛𝑓𝑙𝑜𝑤</m:t>
                    </m:r>
                    <m:r>
                      <a:rPr lang="en-US" sz="1100" b="0" i="1">
                        <a:latin typeface="Cambria Math" panose="02040503050406030204" pitchFamily="18" charset="0"/>
                      </a:rPr>
                      <m:t> &amp; </m:t>
                    </m:r>
                    <m:r>
                      <a:rPr lang="en-US" sz="1100" b="0" i="1">
                        <a:latin typeface="Cambria Math" panose="02040503050406030204" pitchFamily="18" charset="0"/>
                      </a:rPr>
                      <m:t>𝐼𝑛𝑓𝑖𝑙𝑡𝑟𝑎𝑡𝑖𝑜𝑛</m:t>
                    </m:r>
                  </m:oMath>
                </m:oMathPara>
              </a14:m>
              <a:endParaRPr lang="en-US" sz="1100"/>
            </a:p>
          </xdr:txBody>
        </xdr:sp>
      </mc:Choice>
      <mc:Fallback xmlns="">
        <xdr:sp macro="" textlink="">
          <xdr:nvSpPr>
            <xdr:cNvPr id="13" name="TextBox 12">
              <a:extLst>
                <a:ext uri="{FF2B5EF4-FFF2-40B4-BE49-F238E27FC236}">
                  <a16:creationId xmlns:a16="http://schemas.microsoft.com/office/drawing/2014/main" id="{ABE76D69-C76E-41F5-BBDC-810CE125971C}"/>
                </a:ext>
              </a:extLst>
            </xdr:cNvPr>
            <xdr:cNvSpPr txBox="1"/>
          </xdr:nvSpPr>
          <xdr:spPr>
            <a:xfrm>
              <a:off x="600075" y="5314950"/>
              <a:ext cx="481689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b="0" i="0">
                  <a:latin typeface="Cambria Math" panose="02040503050406030204" pitchFamily="18" charset="0"/>
                </a:rPr>
                <a:t>𝑃𝑒𝑎𝑘 𝑊𝑒𝑡 𝑊𝑒𝑎𝑡ℎ𝑒𝑟 𝐹𝑙𝑜𝑤</a:t>
              </a:r>
              <a:r>
                <a:rPr lang="en-US" sz="1100" i="0">
                  <a:latin typeface="Cambria Math" panose="02040503050406030204" pitchFamily="18" charset="0"/>
                </a:rPr>
                <a:t>=</a:t>
              </a:r>
              <a:r>
                <a:rPr lang="en-US" sz="1100" b="0" i="0">
                  <a:latin typeface="Cambria Math" panose="02040503050406030204" pitchFamily="18" charset="0"/>
                </a:rPr>
                <a:t>𝑃𝑒𝑎𝑘 𝐷𝑟𝑦 𝑊𝑒𝑎𝑡ℎ𝑒𝑟 𝐹𝑙𝑜𝑤+𝐼𝑛𝑓𝑙𝑜𝑤 &amp; 𝐼𝑛𝑓𝑖𝑙𝑡𝑟𝑎𝑡𝑖𝑜𝑛</a:t>
              </a:r>
              <a:endParaRPr lang="en-US" sz="1100"/>
            </a:p>
          </xdr:txBody>
        </xdr:sp>
      </mc:Fallback>
    </mc:AlternateContent>
    <xdr:clientData/>
  </xdr:oneCellAnchor>
</xdr:wsDr>
</file>

<file path=xl/drawings/drawing2.xml><?xml version="1.0" encoding="utf-8"?>
<xdr:wsDr xmlns:xdr="http://schemas.openxmlformats.org/drawingml/2006/spreadsheetDrawing" xmlns:a="http://schemas.openxmlformats.org/drawingml/2006/main">
  <xdr:twoCellAnchor editAs="oneCell">
    <xdr:from>
      <xdr:col>9</xdr:col>
      <xdr:colOff>104775</xdr:colOff>
      <xdr:row>0</xdr:row>
      <xdr:rowOff>0</xdr:rowOff>
    </xdr:from>
    <xdr:to>
      <xdr:col>28</xdr:col>
      <xdr:colOff>125444</xdr:colOff>
      <xdr:row>36</xdr:row>
      <xdr:rowOff>39093</xdr:rowOff>
    </xdr:to>
    <xdr:pic>
      <xdr:nvPicPr>
        <xdr:cNvPr id="2" name="Picture 1">
          <a:extLst>
            <a:ext uri="{FF2B5EF4-FFF2-40B4-BE49-F238E27FC236}">
              <a16:creationId xmlns:a16="http://schemas.microsoft.com/office/drawing/2014/main" id="{65BE9452-F450-4470-AE36-8F64D18AFDBF}"/>
            </a:ext>
          </a:extLst>
        </xdr:cNvPr>
        <xdr:cNvPicPr>
          <a:picLocks noChangeAspect="1"/>
        </xdr:cNvPicPr>
      </xdr:nvPicPr>
      <xdr:blipFill>
        <a:blip xmlns:r="http://schemas.openxmlformats.org/officeDocument/2006/relationships" r:embed="rId1"/>
        <a:stretch>
          <a:fillRect/>
        </a:stretch>
      </xdr:blipFill>
      <xdr:spPr>
        <a:xfrm>
          <a:off x="7219950" y="0"/>
          <a:ext cx="11603069" cy="711616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1219200</xdr:colOff>
      <xdr:row>14</xdr:row>
      <xdr:rowOff>161925</xdr:rowOff>
    </xdr:from>
    <xdr:to>
      <xdr:col>20</xdr:col>
      <xdr:colOff>1619</xdr:colOff>
      <xdr:row>52</xdr:row>
      <xdr:rowOff>39093</xdr:rowOff>
    </xdr:to>
    <xdr:pic>
      <xdr:nvPicPr>
        <xdr:cNvPr id="3" name="Picture 2">
          <a:extLst>
            <a:ext uri="{FF2B5EF4-FFF2-40B4-BE49-F238E27FC236}">
              <a16:creationId xmlns:a16="http://schemas.microsoft.com/office/drawing/2014/main" id="{1D1AB4DA-E28E-E59E-A53F-46716A2EFC6C}"/>
            </a:ext>
          </a:extLst>
        </xdr:cNvPr>
        <xdr:cNvPicPr>
          <a:picLocks noChangeAspect="1"/>
        </xdr:cNvPicPr>
      </xdr:nvPicPr>
      <xdr:blipFill>
        <a:blip xmlns:r="http://schemas.openxmlformats.org/officeDocument/2006/relationships" r:embed="rId1"/>
        <a:stretch>
          <a:fillRect/>
        </a:stretch>
      </xdr:blipFill>
      <xdr:spPr>
        <a:xfrm>
          <a:off x="1828800" y="3219450"/>
          <a:ext cx="11603069" cy="711616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E56C7-6AE0-4BFD-8117-F3BD73DD9285}">
  <dimension ref="A1:T32"/>
  <sheetViews>
    <sheetView workbookViewId="0">
      <selection activeCell="L17" sqref="L17"/>
    </sheetView>
  </sheetViews>
  <sheetFormatPr defaultRowHeight="15" x14ac:dyDescent="0.25"/>
  <cols>
    <col min="12" max="12" width="28" bestFit="1" customWidth="1"/>
  </cols>
  <sheetData>
    <row r="1" spans="1:20" ht="15.75" thickBot="1" x14ac:dyDescent="0.3">
      <c r="A1" s="39"/>
      <c r="B1" s="39"/>
      <c r="C1" s="39"/>
      <c r="D1" s="39"/>
      <c r="E1" s="39"/>
      <c r="F1" s="39"/>
      <c r="G1" s="39"/>
      <c r="H1" s="39"/>
      <c r="I1" s="39"/>
      <c r="J1" s="39"/>
      <c r="K1" s="39"/>
      <c r="L1" s="39"/>
      <c r="M1" s="39"/>
      <c r="N1" s="39"/>
      <c r="O1" s="39"/>
      <c r="P1" s="39"/>
      <c r="Q1" s="39"/>
      <c r="R1" s="39"/>
      <c r="S1" s="39"/>
      <c r="T1" s="39"/>
    </row>
    <row r="2" spans="1:20" ht="19.5" thickBot="1" x14ac:dyDescent="0.35">
      <c r="A2" s="39"/>
      <c r="B2" s="85" t="s">
        <v>0</v>
      </c>
      <c r="C2" s="86"/>
      <c r="D2" s="86"/>
      <c r="E2" s="86"/>
      <c r="F2" s="86"/>
      <c r="G2" s="86"/>
      <c r="H2" s="86"/>
      <c r="I2" s="87"/>
      <c r="J2" s="39"/>
      <c r="K2" s="39"/>
      <c r="L2" s="88" t="s">
        <v>1</v>
      </c>
      <c r="M2" s="89"/>
      <c r="N2" s="89"/>
      <c r="O2" s="89"/>
      <c r="P2" s="89"/>
      <c r="Q2" s="89"/>
      <c r="R2" s="90"/>
      <c r="S2" s="39"/>
      <c r="T2" s="39"/>
    </row>
    <row r="3" spans="1:20" ht="16.5" thickTop="1" thickBot="1" x14ac:dyDescent="0.3">
      <c r="A3" s="39"/>
      <c r="B3" s="47"/>
      <c r="C3" s="39"/>
      <c r="D3" s="39"/>
      <c r="E3" s="39"/>
      <c r="F3" s="39"/>
      <c r="G3" s="39"/>
      <c r="H3" s="39"/>
      <c r="I3" s="48"/>
      <c r="J3" s="39"/>
      <c r="K3" s="39"/>
      <c r="L3" s="61" t="s">
        <v>2</v>
      </c>
      <c r="M3" s="41"/>
      <c r="N3" s="27">
        <v>750</v>
      </c>
      <c r="O3" s="42" t="s">
        <v>3</v>
      </c>
      <c r="P3" s="62"/>
      <c r="Q3" s="63"/>
      <c r="R3" s="48"/>
      <c r="S3" s="39"/>
      <c r="T3" s="39"/>
    </row>
    <row r="4" spans="1:20" ht="15.75" thickBot="1" x14ac:dyDescent="0.3">
      <c r="A4" s="39"/>
      <c r="B4" s="47"/>
      <c r="C4" s="39"/>
      <c r="D4" s="39"/>
      <c r="E4" s="39"/>
      <c r="F4" s="39"/>
      <c r="G4" s="39"/>
      <c r="H4" s="39"/>
      <c r="I4" s="48"/>
      <c r="J4" s="39"/>
      <c r="K4" s="39"/>
      <c r="L4" s="61" t="s">
        <v>4</v>
      </c>
      <c r="M4" s="64"/>
      <c r="N4" s="33">
        <v>1440</v>
      </c>
      <c r="O4" s="65" t="s">
        <v>5</v>
      </c>
      <c r="P4" s="62"/>
      <c r="Q4" s="63"/>
      <c r="R4" s="48"/>
      <c r="S4" s="39"/>
      <c r="T4" s="39"/>
    </row>
    <row r="5" spans="1:20" ht="15.75" thickBot="1" x14ac:dyDescent="0.3">
      <c r="A5" s="39"/>
      <c r="B5" s="47"/>
      <c r="C5" s="39"/>
      <c r="D5" s="39"/>
      <c r="E5" s="39"/>
      <c r="F5" s="39"/>
      <c r="G5" s="39"/>
      <c r="H5" s="39"/>
      <c r="I5" s="48"/>
      <c r="J5" s="39"/>
      <c r="K5" s="39"/>
      <c r="L5" s="66" t="s">
        <v>6</v>
      </c>
      <c r="M5" s="67"/>
      <c r="N5" s="34">
        <v>3.5</v>
      </c>
      <c r="O5" s="65" t="s">
        <v>7</v>
      </c>
      <c r="P5" s="62"/>
      <c r="Q5" s="63"/>
      <c r="R5" s="48"/>
      <c r="S5" s="39"/>
      <c r="T5" s="39"/>
    </row>
    <row r="6" spans="1:20" ht="15.75" thickBot="1" x14ac:dyDescent="0.3">
      <c r="A6" s="39"/>
      <c r="B6" s="47"/>
      <c r="C6" s="39"/>
      <c r="D6" s="39"/>
      <c r="E6" s="39"/>
      <c r="F6" s="39"/>
      <c r="G6" s="39"/>
      <c r="H6" s="39"/>
      <c r="I6" s="48"/>
      <c r="J6" s="39"/>
      <c r="K6" s="39"/>
      <c r="L6" s="61" t="s">
        <v>8</v>
      </c>
      <c r="M6" s="64"/>
      <c r="N6" s="35">
        <f>N5/N4</f>
        <v>2.4305555555555556E-3</v>
      </c>
      <c r="O6" s="65" t="s">
        <v>9</v>
      </c>
      <c r="P6" s="62"/>
      <c r="Q6" s="63"/>
      <c r="R6" s="48"/>
      <c r="S6" s="39"/>
      <c r="T6" s="39"/>
    </row>
    <row r="7" spans="1:20" ht="15.75" thickBot="1" x14ac:dyDescent="0.3">
      <c r="A7" s="39"/>
      <c r="B7" s="47"/>
      <c r="C7" s="39"/>
      <c r="D7" s="39"/>
      <c r="E7" s="39"/>
      <c r="F7" s="39"/>
      <c r="G7" s="39"/>
      <c r="H7" s="39"/>
      <c r="I7" s="48"/>
      <c r="J7" s="39"/>
      <c r="K7" s="39"/>
      <c r="L7" s="61" t="s">
        <v>10</v>
      </c>
      <c r="M7" s="64"/>
      <c r="N7" s="33">
        <v>80</v>
      </c>
      <c r="O7" s="65" t="s">
        <v>11</v>
      </c>
      <c r="P7" s="36">
        <f>N7/N4</f>
        <v>5.5555555555555552E-2</v>
      </c>
      <c r="Q7" s="40" t="s">
        <v>12</v>
      </c>
      <c r="R7" s="48"/>
      <c r="S7" s="39"/>
      <c r="T7" s="39"/>
    </row>
    <row r="8" spans="1:20" ht="15.75" thickBot="1" x14ac:dyDescent="0.3">
      <c r="A8" s="39"/>
      <c r="B8" s="47"/>
      <c r="C8" s="39"/>
      <c r="D8" s="39"/>
      <c r="E8" s="39"/>
      <c r="F8" s="39"/>
      <c r="G8" s="39"/>
      <c r="H8" s="39"/>
      <c r="I8" s="48"/>
      <c r="J8" s="39"/>
      <c r="K8" s="39"/>
      <c r="L8" s="61" t="s">
        <v>13</v>
      </c>
      <c r="M8" s="64"/>
      <c r="N8" s="37">
        <v>2.2957000000000001E-5</v>
      </c>
      <c r="O8" s="67" t="s">
        <v>14</v>
      </c>
      <c r="P8" s="62"/>
      <c r="Q8" s="63"/>
      <c r="R8" s="48"/>
      <c r="S8" s="39"/>
      <c r="T8" s="39"/>
    </row>
    <row r="9" spans="1:20" ht="15.75" thickBot="1" x14ac:dyDescent="0.3">
      <c r="A9" s="39"/>
      <c r="B9" s="47"/>
      <c r="C9" s="39"/>
      <c r="D9" s="39"/>
      <c r="E9" s="39"/>
      <c r="F9" s="39"/>
      <c r="G9" s="39"/>
      <c r="H9" s="39"/>
      <c r="I9" s="48"/>
      <c r="J9" s="39"/>
      <c r="K9" s="39"/>
      <c r="L9" s="61" t="s">
        <v>15</v>
      </c>
      <c r="M9" s="64"/>
      <c r="N9" s="69">
        <v>43560</v>
      </c>
      <c r="O9" s="65" t="s">
        <v>16</v>
      </c>
      <c r="P9" s="62"/>
      <c r="Q9" s="63"/>
      <c r="R9" s="48"/>
      <c r="S9" s="39"/>
      <c r="T9" s="39"/>
    </row>
    <row r="10" spans="1:20" ht="15.75" thickBot="1" x14ac:dyDescent="0.3">
      <c r="A10" s="39"/>
      <c r="B10" s="47"/>
      <c r="C10" s="39"/>
      <c r="D10" s="39"/>
      <c r="E10" s="39"/>
      <c r="F10" s="39"/>
      <c r="G10" s="39"/>
      <c r="H10" s="39"/>
      <c r="I10" s="48"/>
      <c r="J10" s="39"/>
      <c r="K10" s="39"/>
      <c r="L10" s="68" t="s">
        <v>17</v>
      </c>
      <c r="M10" s="67"/>
      <c r="N10" s="38">
        <v>0.13368099999999999</v>
      </c>
      <c r="O10" s="67" t="s">
        <v>18</v>
      </c>
      <c r="P10" s="62"/>
      <c r="Q10" s="63"/>
      <c r="R10" s="48"/>
      <c r="S10" s="39"/>
      <c r="T10" s="39"/>
    </row>
    <row r="11" spans="1:20" ht="15.75" thickBot="1" x14ac:dyDescent="0.3">
      <c r="A11" s="39"/>
      <c r="B11" s="47"/>
      <c r="C11" s="39"/>
      <c r="D11" s="39"/>
      <c r="E11" s="39"/>
      <c r="F11" s="39"/>
      <c r="G11" s="39"/>
      <c r="H11" s="39"/>
      <c r="I11" s="48"/>
      <c r="J11" s="39"/>
      <c r="K11" s="39"/>
      <c r="L11" s="49"/>
      <c r="M11" s="50"/>
      <c r="N11" s="50"/>
      <c r="O11" s="50"/>
      <c r="P11" s="50"/>
      <c r="Q11" s="50"/>
      <c r="R11" s="51"/>
      <c r="S11" s="39"/>
      <c r="T11" s="39"/>
    </row>
    <row r="12" spans="1:20" x14ac:dyDescent="0.25">
      <c r="A12" s="39"/>
      <c r="B12" s="47"/>
      <c r="C12" s="39"/>
      <c r="D12" s="39"/>
      <c r="E12" s="39"/>
      <c r="F12" s="39"/>
      <c r="G12" s="39"/>
      <c r="H12" s="39"/>
      <c r="I12" s="48"/>
      <c r="J12" s="39"/>
      <c r="K12" s="39"/>
      <c r="L12" s="39"/>
      <c r="M12" s="39"/>
      <c r="N12" s="39"/>
      <c r="O12" s="39"/>
      <c r="P12" s="39"/>
      <c r="Q12" s="39"/>
      <c r="R12" s="39"/>
      <c r="S12" s="39"/>
      <c r="T12" s="39"/>
    </row>
    <row r="13" spans="1:20" x14ac:dyDescent="0.25">
      <c r="A13" s="39"/>
      <c r="B13" s="47"/>
      <c r="C13" s="39"/>
      <c r="D13" s="39"/>
      <c r="E13" s="39"/>
      <c r="F13" s="39"/>
      <c r="G13" s="39"/>
      <c r="H13" s="39"/>
      <c r="I13" s="48"/>
      <c r="J13" s="39"/>
      <c r="K13" s="39"/>
      <c r="L13" s="39"/>
      <c r="M13" s="39"/>
      <c r="N13" s="39"/>
      <c r="O13" s="39"/>
      <c r="P13" s="39"/>
      <c r="Q13" s="39"/>
      <c r="R13" s="39"/>
      <c r="S13" s="39"/>
      <c r="T13" s="39"/>
    </row>
    <row r="14" spans="1:20" x14ac:dyDescent="0.25">
      <c r="A14" s="39"/>
      <c r="B14" s="47"/>
      <c r="C14" s="39"/>
      <c r="D14" s="39"/>
      <c r="E14" s="39"/>
      <c r="F14" s="39"/>
      <c r="G14" s="39"/>
      <c r="H14" s="39"/>
      <c r="I14" s="48"/>
      <c r="J14" s="39"/>
      <c r="K14" s="39"/>
      <c r="L14" s="39"/>
      <c r="M14" s="39"/>
      <c r="N14" s="39"/>
      <c r="O14" s="39"/>
      <c r="P14" s="39"/>
      <c r="Q14" s="39"/>
      <c r="R14" s="39"/>
      <c r="S14" s="39"/>
      <c r="T14" s="39"/>
    </row>
    <row r="15" spans="1:20" x14ac:dyDescent="0.25">
      <c r="A15" s="39"/>
      <c r="B15" s="47"/>
      <c r="C15" s="39"/>
      <c r="D15" s="39"/>
      <c r="E15" s="39"/>
      <c r="F15" s="39"/>
      <c r="G15" s="39"/>
      <c r="H15" s="39"/>
      <c r="I15" s="48"/>
      <c r="J15" s="39"/>
      <c r="K15" s="39"/>
      <c r="L15" s="39"/>
      <c r="M15" s="39"/>
      <c r="N15" s="39"/>
      <c r="O15" s="39"/>
      <c r="P15" s="39"/>
      <c r="Q15" s="39"/>
      <c r="R15" s="39"/>
      <c r="S15" s="39"/>
      <c r="T15" s="39"/>
    </row>
    <row r="16" spans="1:20" x14ac:dyDescent="0.25">
      <c r="A16" s="39"/>
      <c r="B16" s="47"/>
      <c r="C16" s="39"/>
      <c r="D16" s="39"/>
      <c r="E16" s="39"/>
      <c r="F16" s="39"/>
      <c r="G16" s="39"/>
      <c r="H16" s="39"/>
      <c r="I16" s="48"/>
      <c r="J16" s="39"/>
      <c r="K16" s="39"/>
      <c r="L16" s="39">
        <f>750*10.84/1440</f>
        <v>5.645833333333333</v>
      </c>
      <c r="M16" s="39"/>
      <c r="N16" s="39"/>
      <c r="O16" s="39"/>
      <c r="P16" s="39"/>
      <c r="Q16" s="39"/>
      <c r="R16" s="39"/>
      <c r="S16" s="39"/>
      <c r="T16" s="39"/>
    </row>
    <row r="17" spans="1:20" x14ac:dyDescent="0.25">
      <c r="A17" s="39"/>
      <c r="B17" s="47"/>
      <c r="C17" s="39"/>
      <c r="D17" s="39"/>
      <c r="E17" s="39"/>
      <c r="F17" s="39"/>
      <c r="G17" s="39"/>
      <c r="H17" s="39"/>
      <c r="I17" s="48"/>
      <c r="J17" s="39"/>
      <c r="K17" s="39"/>
      <c r="L17" s="39">
        <f>+L16+137.2</f>
        <v>142.84583333333333</v>
      </c>
      <c r="M17" s="39"/>
      <c r="N17" s="39"/>
      <c r="O17" s="39"/>
      <c r="P17" s="39"/>
      <c r="Q17" s="39"/>
      <c r="R17" s="39"/>
      <c r="S17" s="39"/>
      <c r="T17" s="39"/>
    </row>
    <row r="18" spans="1:20" x14ac:dyDescent="0.25">
      <c r="A18" s="39"/>
      <c r="B18" s="47"/>
      <c r="C18" s="39"/>
      <c r="D18" s="39"/>
      <c r="E18" s="39"/>
      <c r="F18" s="39"/>
      <c r="G18" s="39"/>
      <c r="H18" s="39"/>
      <c r="I18" s="48"/>
      <c r="J18" s="39"/>
      <c r="K18" s="39"/>
      <c r="L18" s="39"/>
      <c r="M18" s="39"/>
      <c r="N18" s="39"/>
      <c r="O18" s="39"/>
      <c r="P18" s="39"/>
      <c r="Q18" s="39"/>
      <c r="R18" s="39"/>
      <c r="S18" s="39"/>
      <c r="T18" s="39"/>
    </row>
    <row r="19" spans="1:20" x14ac:dyDescent="0.25">
      <c r="A19" s="39"/>
      <c r="B19" s="47"/>
      <c r="C19" s="39"/>
      <c r="D19" s="39"/>
      <c r="E19" s="39"/>
      <c r="F19" s="39"/>
      <c r="G19" s="39"/>
      <c r="H19" s="39"/>
      <c r="I19" s="48"/>
      <c r="J19" s="39"/>
      <c r="K19" s="39"/>
      <c r="L19" s="39"/>
      <c r="M19" s="39"/>
      <c r="N19" s="39"/>
      <c r="O19" s="39"/>
      <c r="P19" s="39"/>
      <c r="Q19" s="39"/>
      <c r="R19" s="39"/>
      <c r="S19" s="39"/>
      <c r="T19" s="39"/>
    </row>
    <row r="20" spans="1:20" x14ac:dyDescent="0.25">
      <c r="A20" s="39"/>
      <c r="B20" s="47"/>
      <c r="C20" s="39"/>
      <c r="D20" s="39"/>
      <c r="E20" s="39"/>
      <c r="F20" s="39"/>
      <c r="G20" s="39"/>
      <c r="H20" s="39"/>
      <c r="I20" s="48"/>
      <c r="J20" s="39"/>
      <c r="K20" s="39"/>
      <c r="L20" s="39"/>
      <c r="M20" s="39"/>
      <c r="N20" s="39"/>
      <c r="O20" s="39"/>
      <c r="P20" s="39"/>
      <c r="Q20" s="39"/>
      <c r="R20" s="39"/>
      <c r="S20" s="39"/>
      <c r="T20" s="39"/>
    </row>
    <row r="21" spans="1:20" x14ac:dyDescent="0.25">
      <c r="A21" s="39"/>
      <c r="B21" s="47"/>
      <c r="C21" s="39"/>
      <c r="D21" s="39"/>
      <c r="E21" s="39"/>
      <c r="F21" s="39"/>
      <c r="G21" s="39"/>
      <c r="H21" s="39"/>
      <c r="I21" s="48"/>
      <c r="J21" s="39"/>
      <c r="K21" s="39"/>
      <c r="L21" s="39"/>
      <c r="M21" s="39"/>
      <c r="N21" s="39"/>
      <c r="O21" s="39"/>
      <c r="P21" s="39"/>
      <c r="Q21" s="39"/>
      <c r="R21" s="39"/>
      <c r="S21" s="39"/>
      <c r="T21" s="39"/>
    </row>
    <row r="22" spans="1:20" x14ac:dyDescent="0.25">
      <c r="A22" s="39"/>
      <c r="B22" s="47"/>
      <c r="C22" s="39"/>
      <c r="D22" s="39"/>
      <c r="E22" s="39"/>
      <c r="F22" s="39"/>
      <c r="G22" s="39"/>
      <c r="H22" s="39"/>
      <c r="I22" s="48"/>
      <c r="J22" s="39"/>
      <c r="K22" s="39"/>
      <c r="L22" s="39"/>
      <c r="M22" s="39"/>
      <c r="N22" s="39"/>
      <c r="O22" s="39"/>
      <c r="P22" s="39"/>
      <c r="Q22" s="39"/>
      <c r="R22" s="39"/>
      <c r="S22" s="39"/>
      <c r="T22" s="39"/>
    </row>
    <row r="23" spans="1:20" x14ac:dyDescent="0.25">
      <c r="A23" s="39"/>
      <c r="B23" s="47"/>
      <c r="C23" s="39"/>
      <c r="D23" s="39"/>
      <c r="E23" s="39"/>
      <c r="F23" s="39"/>
      <c r="G23" s="39"/>
      <c r="H23" s="39"/>
      <c r="I23" s="48"/>
      <c r="J23" s="39"/>
      <c r="K23" s="39"/>
      <c r="L23" s="39"/>
      <c r="M23" s="39"/>
      <c r="N23" s="39"/>
      <c r="O23" s="39"/>
      <c r="P23" s="39"/>
      <c r="Q23" s="39"/>
      <c r="R23" s="39"/>
      <c r="S23" s="39"/>
      <c r="T23" s="39"/>
    </row>
    <row r="24" spans="1:20" x14ac:dyDescent="0.25">
      <c r="A24" s="39"/>
      <c r="B24" s="47"/>
      <c r="C24" s="39"/>
      <c r="D24" s="39"/>
      <c r="E24" s="39"/>
      <c r="F24" s="39"/>
      <c r="G24" s="39"/>
      <c r="H24" s="39"/>
      <c r="I24" s="48"/>
      <c r="J24" s="39"/>
      <c r="K24" s="39"/>
      <c r="L24" s="39"/>
      <c r="M24" s="39"/>
      <c r="N24" s="39"/>
      <c r="O24" s="39"/>
      <c r="P24" s="39"/>
      <c r="Q24" s="39"/>
      <c r="R24" s="39"/>
      <c r="S24" s="39"/>
      <c r="T24" s="39"/>
    </row>
    <row r="25" spans="1:20" x14ac:dyDescent="0.25">
      <c r="A25" s="39"/>
      <c r="B25" s="47"/>
      <c r="C25" s="39"/>
      <c r="D25" s="39"/>
      <c r="E25" s="39"/>
      <c r="F25" s="39"/>
      <c r="G25" s="39"/>
      <c r="H25" s="39"/>
      <c r="I25" s="48"/>
      <c r="J25" s="39"/>
      <c r="K25" s="39"/>
      <c r="L25" s="39"/>
      <c r="M25" s="39"/>
      <c r="N25" s="39"/>
      <c r="O25" s="39"/>
      <c r="P25" s="39"/>
      <c r="Q25" s="39"/>
      <c r="R25" s="39"/>
      <c r="S25" s="39"/>
      <c r="T25" s="39"/>
    </row>
    <row r="26" spans="1:20" x14ac:dyDescent="0.25">
      <c r="A26" s="39"/>
      <c r="B26" s="47"/>
      <c r="C26" s="39"/>
      <c r="D26" s="39"/>
      <c r="E26" s="39"/>
      <c r="F26" s="39"/>
      <c r="G26" s="39"/>
      <c r="H26" s="39"/>
      <c r="I26" s="48"/>
      <c r="J26" s="39"/>
      <c r="K26" s="39"/>
      <c r="L26" s="39"/>
      <c r="M26" s="39"/>
      <c r="N26" s="39"/>
      <c r="O26" s="39"/>
      <c r="P26" s="39"/>
      <c r="Q26" s="39"/>
      <c r="R26" s="39"/>
      <c r="S26" s="39"/>
      <c r="T26" s="39"/>
    </row>
    <row r="27" spans="1:20" x14ac:dyDescent="0.25">
      <c r="A27" s="39"/>
      <c r="B27" s="47"/>
      <c r="C27" s="39"/>
      <c r="D27" s="39"/>
      <c r="E27" s="39"/>
      <c r="F27" s="39"/>
      <c r="G27" s="39"/>
      <c r="H27" s="39"/>
      <c r="I27" s="48"/>
      <c r="J27" s="39"/>
      <c r="K27" s="39"/>
      <c r="L27" s="39"/>
      <c r="M27" s="39"/>
      <c r="N27" s="39"/>
      <c r="O27" s="39"/>
      <c r="P27" s="39"/>
      <c r="Q27" s="39"/>
      <c r="R27" s="39"/>
      <c r="S27" s="39"/>
      <c r="T27" s="39"/>
    </row>
    <row r="28" spans="1:20" x14ac:dyDescent="0.25">
      <c r="A28" s="39"/>
      <c r="B28" s="47"/>
      <c r="C28" s="39"/>
      <c r="D28" s="39"/>
      <c r="E28" s="39"/>
      <c r="F28" s="39"/>
      <c r="G28" s="39"/>
      <c r="H28" s="39"/>
      <c r="I28" s="48"/>
      <c r="J28" s="39"/>
      <c r="K28" s="39"/>
      <c r="L28" s="39"/>
      <c r="M28" s="39"/>
      <c r="N28" s="39"/>
      <c r="O28" s="39"/>
      <c r="P28" s="39"/>
      <c r="Q28" s="39"/>
      <c r="R28" s="39"/>
      <c r="S28" s="39"/>
      <c r="T28" s="39"/>
    </row>
    <row r="29" spans="1:20" ht="15.75" thickBot="1" x14ac:dyDescent="0.3">
      <c r="A29" s="39"/>
      <c r="B29" s="49"/>
      <c r="C29" s="50"/>
      <c r="D29" s="50"/>
      <c r="E29" s="50"/>
      <c r="F29" s="50"/>
      <c r="G29" s="50"/>
      <c r="H29" s="50"/>
      <c r="I29" s="51"/>
      <c r="J29" s="39"/>
      <c r="K29" s="39"/>
      <c r="L29" s="39"/>
      <c r="M29" s="39"/>
      <c r="N29" s="39"/>
      <c r="O29" s="39"/>
      <c r="P29" s="39"/>
      <c r="Q29" s="39"/>
      <c r="R29" s="39"/>
      <c r="S29" s="39"/>
      <c r="T29" s="39"/>
    </row>
    <row r="30" spans="1:20" x14ac:dyDescent="0.25">
      <c r="A30" s="39"/>
      <c r="B30" s="39"/>
      <c r="C30" s="39"/>
      <c r="D30" s="39"/>
      <c r="E30" s="39"/>
      <c r="F30" s="39"/>
      <c r="G30" s="39"/>
      <c r="H30" s="39"/>
      <c r="I30" s="39"/>
      <c r="J30" s="39"/>
      <c r="K30" s="39"/>
      <c r="L30" s="39"/>
      <c r="M30" s="39"/>
      <c r="N30" s="39"/>
      <c r="O30" s="39"/>
      <c r="P30" s="39"/>
      <c r="Q30" s="39"/>
      <c r="R30" s="39"/>
      <c r="S30" s="39"/>
      <c r="T30" s="39"/>
    </row>
    <row r="31" spans="1:20" x14ac:dyDescent="0.25">
      <c r="A31" s="39"/>
      <c r="B31" s="39"/>
      <c r="C31" s="39"/>
      <c r="D31" s="39"/>
      <c r="E31" s="39"/>
      <c r="F31" s="39"/>
      <c r="G31" s="39"/>
      <c r="H31" s="39"/>
      <c r="I31" s="39"/>
      <c r="J31" s="39"/>
      <c r="K31" s="39"/>
      <c r="L31" s="39"/>
      <c r="M31" s="39"/>
      <c r="N31" s="39"/>
      <c r="O31" s="39"/>
      <c r="P31" s="39"/>
      <c r="Q31" s="39"/>
      <c r="R31" s="39"/>
      <c r="S31" s="39"/>
      <c r="T31" s="39"/>
    </row>
    <row r="32" spans="1:20" x14ac:dyDescent="0.25">
      <c r="A32" s="39"/>
      <c r="B32" s="39"/>
      <c r="C32" s="39"/>
      <c r="D32" s="39"/>
      <c r="E32" s="39"/>
      <c r="F32" s="39"/>
      <c r="G32" s="39"/>
      <c r="H32" s="39"/>
      <c r="I32" s="39"/>
      <c r="J32" s="39"/>
      <c r="K32" s="39"/>
      <c r="L32" s="39"/>
      <c r="M32" s="39"/>
      <c r="N32" s="39"/>
      <c r="O32" s="39"/>
      <c r="P32" s="39"/>
      <c r="Q32" s="39"/>
      <c r="R32" s="39"/>
      <c r="S32" s="39"/>
      <c r="T32" s="39"/>
    </row>
  </sheetData>
  <mergeCells count="2">
    <mergeCell ref="B2:I2"/>
    <mergeCell ref="L2:R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6"/>
  <sheetViews>
    <sheetView workbookViewId="0">
      <pane ySplit="1" topLeftCell="A2" activePane="bottomLeft" state="frozen"/>
      <selection pane="bottomLeft" activeCell="F20" sqref="F20"/>
    </sheetView>
  </sheetViews>
  <sheetFormatPr defaultRowHeight="15" x14ac:dyDescent="0.25"/>
  <cols>
    <col min="1" max="1" width="5.140625" bestFit="1" customWidth="1"/>
    <col min="2" max="2" width="8.7109375" bestFit="1" customWidth="1"/>
    <col min="3" max="3" width="17.28515625" bestFit="1" customWidth="1"/>
    <col min="4" max="4" width="13.85546875" bestFit="1" customWidth="1"/>
    <col min="5" max="5" width="13.28515625" bestFit="1" customWidth="1"/>
    <col min="6" max="6" width="20.7109375" bestFit="1" customWidth="1"/>
    <col min="7" max="7" width="13.85546875" bestFit="1" customWidth="1"/>
    <col min="8" max="8" width="6.7109375" customWidth="1"/>
    <col min="9" max="9" width="7.140625" customWidth="1"/>
  </cols>
  <sheetData>
    <row r="1" spans="1:9" ht="30.75" thickBot="1" x14ac:dyDescent="0.3">
      <c r="A1" s="52" t="s">
        <v>19</v>
      </c>
      <c r="B1" s="53" t="s">
        <v>20</v>
      </c>
      <c r="C1" s="53" t="s">
        <v>21</v>
      </c>
      <c r="D1" s="53" t="s">
        <v>22</v>
      </c>
      <c r="E1" s="53" t="s">
        <v>23</v>
      </c>
      <c r="F1" s="53" t="s">
        <v>24</v>
      </c>
      <c r="G1" s="54" t="s">
        <v>25</v>
      </c>
      <c r="H1" s="54" t="s">
        <v>26</v>
      </c>
      <c r="I1" s="55" t="s">
        <v>27</v>
      </c>
    </row>
    <row r="2" spans="1:9" ht="15.75" thickTop="1" x14ac:dyDescent="0.25">
      <c r="A2" s="56" t="s">
        <v>28</v>
      </c>
      <c r="B2" s="30" t="s">
        <v>29</v>
      </c>
      <c r="C2" s="15">
        <v>16.88337559</v>
      </c>
      <c r="D2" s="30" t="s">
        <v>30</v>
      </c>
      <c r="E2" s="30" t="s">
        <v>31</v>
      </c>
      <c r="F2" s="30" t="s">
        <v>32</v>
      </c>
      <c r="G2" s="31">
        <f>500/70</f>
        <v>7.1428571428571432</v>
      </c>
      <c r="H2" s="98">
        <f>SUM(G2:G12)</f>
        <v>159.01253663003658</v>
      </c>
      <c r="I2" s="91">
        <f>SUM(C2:C12)</f>
        <v>78.535353909999998</v>
      </c>
    </row>
    <row r="3" spans="1:9" x14ac:dyDescent="0.25">
      <c r="A3" s="94" t="s">
        <v>33</v>
      </c>
      <c r="B3" s="3" t="s">
        <v>34</v>
      </c>
      <c r="C3" s="16">
        <v>7.6730083699999998</v>
      </c>
      <c r="D3" s="3" t="s">
        <v>35</v>
      </c>
      <c r="E3" s="3" t="s">
        <v>36</v>
      </c>
      <c r="F3" s="3" t="s">
        <v>37</v>
      </c>
      <c r="G3" s="18">
        <f>80/13</f>
        <v>6.1538461538461542</v>
      </c>
      <c r="H3" s="99"/>
      <c r="I3" s="92"/>
    </row>
    <row r="4" spans="1:9" x14ac:dyDescent="0.25">
      <c r="A4" s="95"/>
      <c r="B4" s="3" t="s">
        <v>38</v>
      </c>
      <c r="C4" s="17">
        <v>4.5699940899999998</v>
      </c>
      <c r="D4" s="3" t="s">
        <v>30</v>
      </c>
      <c r="E4" s="3" t="s">
        <v>39</v>
      </c>
      <c r="F4" s="3" t="s">
        <v>32</v>
      </c>
      <c r="G4" s="3">
        <f>560/70</f>
        <v>8</v>
      </c>
      <c r="H4" s="99"/>
      <c r="I4" s="92"/>
    </row>
    <row r="5" spans="1:9" x14ac:dyDescent="0.25">
      <c r="A5" s="96"/>
      <c r="B5" s="3" t="s">
        <v>40</v>
      </c>
      <c r="C5" s="17">
        <v>6.0480273499999999</v>
      </c>
      <c r="D5" s="3" t="s">
        <v>41</v>
      </c>
      <c r="E5" s="3" t="s">
        <v>42</v>
      </c>
      <c r="F5" s="3" t="s">
        <v>43</v>
      </c>
      <c r="G5" s="3">
        <v>110</v>
      </c>
      <c r="H5" s="99"/>
      <c r="I5" s="92"/>
    </row>
    <row r="6" spans="1:9" x14ac:dyDescent="0.25">
      <c r="A6" s="94" t="s">
        <v>44</v>
      </c>
      <c r="B6" s="3" t="s">
        <v>45</v>
      </c>
      <c r="C6" s="16">
        <v>5.8120000000000003</v>
      </c>
      <c r="D6" s="3" t="s">
        <v>46</v>
      </c>
      <c r="E6" s="12" t="s">
        <v>47</v>
      </c>
      <c r="F6" s="3" t="s">
        <v>48</v>
      </c>
      <c r="G6" s="3">
        <f>30000/3000</f>
        <v>10</v>
      </c>
      <c r="H6" s="99"/>
      <c r="I6" s="92"/>
    </row>
    <row r="7" spans="1:9" x14ac:dyDescent="0.25">
      <c r="A7" s="96"/>
      <c r="B7" s="3" t="s">
        <v>49</v>
      </c>
      <c r="C7" s="16">
        <v>9.6750000000000007</v>
      </c>
      <c r="D7" s="3" t="s">
        <v>50</v>
      </c>
      <c r="E7" s="75" t="s">
        <v>51</v>
      </c>
      <c r="F7" s="3" t="s">
        <v>52</v>
      </c>
      <c r="G7" s="18">
        <f>24560/4000</f>
        <v>6.14</v>
      </c>
      <c r="H7" s="99"/>
      <c r="I7" s="92"/>
    </row>
    <row r="8" spans="1:9" x14ac:dyDescent="0.25">
      <c r="A8" s="94" t="s">
        <v>53</v>
      </c>
      <c r="B8" s="3" t="s">
        <v>54</v>
      </c>
      <c r="C8" s="17">
        <v>11.481732709999999</v>
      </c>
      <c r="D8" s="3" t="s">
        <v>50</v>
      </c>
      <c r="E8" s="3" t="s">
        <v>55</v>
      </c>
      <c r="F8" s="3" t="s">
        <v>52</v>
      </c>
      <c r="G8" s="18">
        <f>11530/4000</f>
        <v>2.8824999999999998</v>
      </c>
      <c r="H8" s="99"/>
      <c r="I8" s="92"/>
    </row>
    <row r="9" spans="1:9" x14ac:dyDescent="0.25">
      <c r="A9" s="95"/>
      <c r="B9" s="3" t="s">
        <v>56</v>
      </c>
      <c r="C9" s="17">
        <v>2.0450341000000001</v>
      </c>
      <c r="D9" s="3" t="s">
        <v>57</v>
      </c>
      <c r="E9" s="3" t="s">
        <v>58</v>
      </c>
      <c r="F9" s="3" t="s">
        <v>48</v>
      </c>
      <c r="G9" s="18">
        <f>8110/3000</f>
        <v>2.7033333333333331</v>
      </c>
      <c r="H9" s="99"/>
      <c r="I9" s="92"/>
    </row>
    <row r="10" spans="1:9" x14ac:dyDescent="0.25">
      <c r="A10" s="96"/>
      <c r="B10" s="3" t="s">
        <v>59</v>
      </c>
      <c r="C10" s="17">
        <v>3.56559107</v>
      </c>
      <c r="D10" s="3" t="s">
        <v>57</v>
      </c>
      <c r="E10" s="12" t="s">
        <v>60</v>
      </c>
      <c r="F10" s="3" t="s">
        <v>48</v>
      </c>
      <c r="G10" s="18">
        <f>6770/3000</f>
        <v>2.2566666666666668</v>
      </c>
      <c r="H10" s="99"/>
      <c r="I10" s="92"/>
    </row>
    <row r="11" spans="1:9" x14ac:dyDescent="0.25">
      <c r="A11" s="94" t="s">
        <v>61</v>
      </c>
      <c r="B11" s="3" t="s">
        <v>62</v>
      </c>
      <c r="C11" s="16">
        <v>7.7940659500000002</v>
      </c>
      <c r="D11" s="3" t="s">
        <v>50</v>
      </c>
      <c r="E11" s="12" t="s">
        <v>63</v>
      </c>
      <c r="F11" s="3" t="s">
        <v>52</v>
      </c>
      <c r="G11" s="18">
        <f>10400/4000</f>
        <v>2.6</v>
      </c>
      <c r="H11" s="99"/>
      <c r="I11" s="92"/>
    </row>
    <row r="12" spans="1:9" ht="15.75" thickBot="1" x14ac:dyDescent="0.3">
      <c r="A12" s="97"/>
      <c r="B12" s="57" t="s">
        <v>64</v>
      </c>
      <c r="C12" s="58">
        <v>2.9875246799999999</v>
      </c>
      <c r="D12" s="57" t="s">
        <v>57</v>
      </c>
      <c r="E12" s="59" t="s">
        <v>65</v>
      </c>
      <c r="F12" s="57" t="s">
        <v>66</v>
      </c>
      <c r="G12" s="60">
        <f>3400/3000</f>
        <v>1.1333333333333333</v>
      </c>
      <c r="H12" s="100"/>
      <c r="I12" s="93"/>
    </row>
    <row r="17" spans="4:4" x14ac:dyDescent="0.25">
      <c r="D17" s="21"/>
    </row>
    <row r="22" spans="4:4" x14ac:dyDescent="0.25">
      <c r="D22" s="19"/>
    </row>
    <row r="26" spans="4:4" x14ac:dyDescent="0.25">
      <c r="D26" s="20"/>
    </row>
  </sheetData>
  <mergeCells count="6">
    <mergeCell ref="I2:I12"/>
    <mergeCell ref="A3:A5"/>
    <mergeCell ref="A6:A7"/>
    <mergeCell ref="A8:A10"/>
    <mergeCell ref="A11:A12"/>
    <mergeCell ref="H2:H12"/>
  </mergeCells>
  <pageMargins left="0.7" right="0.7" top="0.75" bottom="0.75" header="0.3" footer="0.3"/>
  <pageSetup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11F14-D465-4B23-9C29-7DBC8D99624D}">
  <dimension ref="A1:AA29"/>
  <sheetViews>
    <sheetView tabSelected="1" zoomScaleNormal="100" workbookViewId="0">
      <pane ySplit="1" topLeftCell="A2" activePane="bottomLeft" state="frozen"/>
      <selection pane="bottomLeft" activeCell="V22" sqref="V22"/>
    </sheetView>
  </sheetViews>
  <sheetFormatPr defaultRowHeight="15" x14ac:dyDescent="0.25"/>
  <cols>
    <col min="2" max="2" width="18.42578125" customWidth="1"/>
    <col min="3" max="3" width="14.42578125" bestFit="1" customWidth="1"/>
    <col min="4" max="4" width="5" customWidth="1"/>
    <col min="5" max="5" width="8" customWidth="1"/>
    <col min="6" max="6" width="6.5703125" customWidth="1"/>
    <col min="7" max="7" width="10" customWidth="1"/>
    <col min="8" max="8" width="10.140625" customWidth="1"/>
    <col min="9" max="9" width="10.42578125" style="2" customWidth="1"/>
    <col min="10" max="10" width="10.42578125" customWidth="1"/>
    <col min="11" max="11" width="17.85546875" bestFit="1" customWidth="1"/>
    <col min="12" max="12" width="10" bestFit="1" customWidth="1"/>
    <col min="13" max="13" width="7" customWidth="1"/>
    <col min="14" max="14" width="7.7109375" customWidth="1"/>
    <col min="15" max="15" width="7.5703125" customWidth="1"/>
    <col min="16" max="16" width="7.7109375" customWidth="1"/>
    <col min="17" max="17" width="8.42578125" customWidth="1"/>
    <col min="18" max="18" width="8.28515625" bestFit="1" customWidth="1"/>
    <col min="19" max="19" width="10.85546875" bestFit="1" customWidth="1"/>
    <col min="20" max="20" width="13.42578125" customWidth="1"/>
    <col min="21" max="21" width="19.7109375" customWidth="1"/>
    <col min="22" max="22" width="17.5703125" customWidth="1"/>
    <col min="23" max="23" width="22.7109375" customWidth="1"/>
  </cols>
  <sheetData>
    <row r="1" spans="1:23" s="1" customFormat="1" ht="45" x14ac:dyDescent="0.25">
      <c r="A1" s="10" t="s">
        <v>67</v>
      </c>
      <c r="B1" s="10" t="s">
        <v>68</v>
      </c>
      <c r="C1" s="10" t="s">
        <v>69</v>
      </c>
      <c r="D1" s="10" t="s">
        <v>70</v>
      </c>
      <c r="E1" s="10" t="s">
        <v>71</v>
      </c>
      <c r="F1" s="10" t="s">
        <v>72</v>
      </c>
      <c r="G1" s="10" t="s">
        <v>73</v>
      </c>
      <c r="H1" s="10" t="s">
        <v>74</v>
      </c>
      <c r="I1" s="11" t="s">
        <v>75</v>
      </c>
      <c r="J1" s="10" t="s">
        <v>76</v>
      </c>
      <c r="K1" s="10" t="s">
        <v>77</v>
      </c>
      <c r="L1" s="10" t="s">
        <v>78</v>
      </c>
      <c r="M1" s="10" t="s">
        <v>26</v>
      </c>
      <c r="N1" s="10" t="s">
        <v>79</v>
      </c>
      <c r="O1" s="10" t="s">
        <v>80</v>
      </c>
      <c r="P1" s="10" t="s">
        <v>81</v>
      </c>
      <c r="Q1" s="10" t="s">
        <v>82</v>
      </c>
      <c r="R1" s="10" t="s">
        <v>83</v>
      </c>
      <c r="S1" s="10" t="s">
        <v>84</v>
      </c>
      <c r="T1" s="10" t="s">
        <v>85</v>
      </c>
      <c r="U1" s="10" t="s">
        <v>86</v>
      </c>
      <c r="V1" s="10" t="s">
        <v>108</v>
      </c>
      <c r="W1" s="10" t="s">
        <v>87</v>
      </c>
    </row>
    <row r="2" spans="1:23" ht="15.75" thickTop="1" x14ac:dyDescent="0.25">
      <c r="A2" s="8">
        <v>1466745</v>
      </c>
      <c r="B2" s="8" t="s">
        <v>88</v>
      </c>
      <c r="C2" s="8" t="s">
        <v>89</v>
      </c>
      <c r="D2" s="8">
        <v>8</v>
      </c>
      <c r="E2" s="26">
        <v>300</v>
      </c>
      <c r="F2" s="77">
        <f>PI()*((D2/12)/2)^2</f>
        <v>0.3490658503988659</v>
      </c>
      <c r="G2" s="77">
        <f>PI()*(D2/12)</f>
        <v>2.0943951023931953</v>
      </c>
      <c r="H2" s="77">
        <f>(F2/G2)</f>
        <v>0.16666666666666669</v>
      </c>
      <c r="I2" s="7">
        <v>7.6E-3</v>
      </c>
      <c r="J2" s="4" t="s">
        <v>107</v>
      </c>
      <c r="K2" s="8" t="s">
        <v>90</v>
      </c>
      <c r="L2" s="6">
        <v>5.12</v>
      </c>
      <c r="M2" s="26">
        <f>LUE!$G$2+LUE!$G$4+LUE!$G$5+LUE!$G$6</f>
        <v>135.14285714285714</v>
      </c>
      <c r="N2" s="6">
        <f>80*M2*(3.5/(24*60))</f>
        <v>26.277777777777775</v>
      </c>
      <c r="O2" s="6">
        <f>((18+(0.018*N2)^0.5)/(4+(0.018*N2)^0.5))*N2</f>
        <v>104.75655596663371</v>
      </c>
      <c r="P2" s="6">
        <f>(750*L2)/(24*60)</f>
        <v>2.6666666666666665</v>
      </c>
      <c r="Q2" s="6">
        <f>O2+P2</f>
        <v>107.42322263330038</v>
      </c>
      <c r="R2" s="6">
        <f>(1.49/0.013)*(H2^0.67)*SQRT(I2)</f>
        <v>3.0080730205755462</v>
      </c>
      <c r="S2" s="6">
        <f>(F2*R2*60)/0.133681</f>
        <v>471.27814737580729</v>
      </c>
      <c r="T2" s="26">
        <f>(0.65*S2)</f>
        <v>306.33079579427476</v>
      </c>
      <c r="U2" s="29" t="str">
        <f>IF(O2&lt;T2, "Acceptable", "")</f>
        <v>Acceptable</v>
      </c>
      <c r="V2" s="26">
        <f t="shared" ref="V2:V11" si="0">(0.85*S2)</f>
        <v>400.58642526943618</v>
      </c>
      <c r="W2" s="29" t="str">
        <f>IF(Q2&lt;V2, "Acceptable", "")</f>
        <v>Acceptable</v>
      </c>
    </row>
    <row r="3" spans="1:23" x14ac:dyDescent="0.25">
      <c r="A3" s="4">
        <v>1466743</v>
      </c>
      <c r="B3" s="4" t="s">
        <v>89</v>
      </c>
      <c r="C3" s="4" t="s">
        <v>91</v>
      </c>
      <c r="D3" s="4">
        <v>8</v>
      </c>
      <c r="E3" s="22">
        <v>300</v>
      </c>
      <c r="F3" s="6">
        <f t="shared" ref="F3:F12" si="1">PI()*((D3/12)/2)^2</f>
        <v>0.3490658503988659</v>
      </c>
      <c r="G3" s="6">
        <f t="shared" ref="G3:G12" si="2">PI()*(D3/12)</f>
        <v>2.0943951023931953</v>
      </c>
      <c r="H3" s="5">
        <f>(F3/G3)</f>
        <v>0.16666666666666669</v>
      </c>
      <c r="I3" s="9">
        <v>3.5999999999999999E-3</v>
      </c>
      <c r="J3" s="4" t="s">
        <v>96</v>
      </c>
      <c r="K3" s="8" t="s">
        <v>92</v>
      </c>
      <c r="L3" s="5">
        <f>SUM(LUE!C2:C7)</f>
        <v>50.661405399999992</v>
      </c>
      <c r="M3" s="22">
        <f>SUM(LUE!G2:G7)</f>
        <v>147.43670329670329</v>
      </c>
      <c r="N3" s="6">
        <f t="shared" ref="N3:N12" si="3">80*M3*(3.5/(24*60))</f>
        <v>28.66824786324786</v>
      </c>
      <c r="O3" s="5">
        <f t="shared" ref="O3:O11" si="4">((18+(0.018*N3)^0.5)/(4+(0.018*N3)^0.5))*N3</f>
        <v>113.73090051138972</v>
      </c>
      <c r="P3" s="6">
        <f t="shared" ref="P3:P12" si="5">(750*L3)/(24*60)</f>
        <v>26.386148645833327</v>
      </c>
      <c r="Q3" s="5">
        <f t="shared" ref="Q3:Q11" si="6">O3+P3</f>
        <v>140.11704915722305</v>
      </c>
      <c r="R3" s="5">
        <f t="shared" ref="R3:R12" si="7">(1.49/0.013)*(H3^0.67)*SQRT(I3)</f>
        <v>2.0702978386547288</v>
      </c>
      <c r="S3" s="78">
        <f t="shared" ref="S3:S12" si="8">(F3*R3*60)/0.133681</f>
        <v>324.35586611213876</v>
      </c>
      <c r="T3" s="22">
        <f t="shared" ref="T3:T12" si="9">(0.65*S3)</f>
        <v>210.8313129728902</v>
      </c>
      <c r="U3" s="29" t="str">
        <f t="shared" ref="U3:U12" si="10">IF(O3&lt;T3, "Acceptable", "")</f>
        <v>Acceptable</v>
      </c>
      <c r="V3" s="22">
        <f t="shared" si="0"/>
        <v>275.70248619531793</v>
      </c>
      <c r="W3" s="29" t="str">
        <f t="shared" ref="W3:W12" si="11">IF(Q3&lt;V3, "Acceptable", "")</f>
        <v>Acceptable</v>
      </c>
    </row>
    <row r="4" spans="1:23" x14ac:dyDescent="0.25">
      <c r="A4" s="4">
        <v>1466734</v>
      </c>
      <c r="B4" s="4" t="s">
        <v>93</v>
      </c>
      <c r="C4" s="4" t="s">
        <v>94</v>
      </c>
      <c r="D4" s="4">
        <v>8</v>
      </c>
      <c r="E4" s="22">
        <v>281.93</v>
      </c>
      <c r="F4" s="6">
        <f t="shared" si="1"/>
        <v>0.3490658503988659</v>
      </c>
      <c r="G4" s="6">
        <f t="shared" si="2"/>
        <v>2.0943951023931953</v>
      </c>
      <c r="H4" s="5">
        <f t="shared" ref="H4:H12" si="12">(F4/G4)</f>
        <v>0.16666666666666669</v>
      </c>
      <c r="I4" s="9">
        <v>0.02</v>
      </c>
      <c r="J4" s="4" t="s">
        <v>96</v>
      </c>
      <c r="K4" s="4" t="s">
        <v>92</v>
      </c>
      <c r="L4" s="5">
        <f>SUM(LUE!C2:C7)</f>
        <v>50.661405399999992</v>
      </c>
      <c r="M4" s="22">
        <f>SUM(LUE!G2:G7)</f>
        <v>147.43670329670329</v>
      </c>
      <c r="N4" s="6">
        <f t="shared" si="3"/>
        <v>28.66824786324786</v>
      </c>
      <c r="O4" s="5">
        <f t="shared" si="4"/>
        <v>113.73090051138972</v>
      </c>
      <c r="P4" s="6">
        <f t="shared" si="5"/>
        <v>26.386148645833327</v>
      </c>
      <c r="Q4" s="5">
        <f t="shared" si="6"/>
        <v>140.11704915722305</v>
      </c>
      <c r="R4" s="5">
        <f t="shared" si="7"/>
        <v>4.8797388026287063</v>
      </c>
      <c r="S4" s="78">
        <f t="shared" si="8"/>
        <v>764.51410815176416</v>
      </c>
      <c r="T4" s="22">
        <f t="shared" si="9"/>
        <v>496.93417029864673</v>
      </c>
      <c r="U4" s="29" t="str">
        <f t="shared" si="10"/>
        <v>Acceptable</v>
      </c>
      <c r="V4" s="22">
        <f t="shared" si="0"/>
        <v>649.83699192899951</v>
      </c>
      <c r="W4" s="29" t="str">
        <f t="shared" si="11"/>
        <v>Acceptable</v>
      </c>
    </row>
    <row r="5" spans="1:23" x14ac:dyDescent="0.25">
      <c r="A5" s="4">
        <v>1466733</v>
      </c>
      <c r="B5" s="4" t="s">
        <v>94</v>
      </c>
      <c r="C5" s="4" t="s">
        <v>95</v>
      </c>
      <c r="D5" s="4">
        <v>8</v>
      </c>
      <c r="E5" s="23">
        <v>300</v>
      </c>
      <c r="F5" s="6">
        <f t="shared" si="1"/>
        <v>0.3490658503988659</v>
      </c>
      <c r="G5" s="6">
        <f t="shared" si="2"/>
        <v>2.0943951023931953</v>
      </c>
      <c r="H5" s="5">
        <f t="shared" si="12"/>
        <v>0.16666666666666669</v>
      </c>
      <c r="I5" s="9">
        <v>4.0000000000000001E-3</v>
      </c>
      <c r="J5" s="4" t="s">
        <v>96</v>
      </c>
      <c r="K5" s="4" t="s">
        <v>92</v>
      </c>
      <c r="L5" s="5">
        <f>SUM(LUE!C2:C7)</f>
        <v>50.661405399999992</v>
      </c>
      <c r="M5" s="22">
        <f>SUM(LUE!G2:G7)</f>
        <v>147.43670329670329</v>
      </c>
      <c r="N5" s="6">
        <f t="shared" si="3"/>
        <v>28.66824786324786</v>
      </c>
      <c r="O5" s="5">
        <f t="shared" si="4"/>
        <v>113.73090051138972</v>
      </c>
      <c r="P5" s="6">
        <f t="shared" si="5"/>
        <v>26.386148645833327</v>
      </c>
      <c r="Q5" s="5">
        <f t="shared" si="6"/>
        <v>140.11704915722305</v>
      </c>
      <c r="R5" s="5">
        <f t="shared" si="7"/>
        <v>2.1822855350242429</v>
      </c>
      <c r="S5" s="78">
        <f t="shared" si="8"/>
        <v>341.90110311699408</v>
      </c>
      <c r="T5" s="22">
        <f t="shared" si="9"/>
        <v>222.23571702604616</v>
      </c>
      <c r="U5" s="29" t="str">
        <f t="shared" si="10"/>
        <v>Acceptable</v>
      </c>
      <c r="V5" s="22">
        <f t="shared" si="0"/>
        <v>290.61593764944496</v>
      </c>
      <c r="W5" s="29" t="str">
        <f t="shared" si="11"/>
        <v>Acceptable</v>
      </c>
    </row>
    <row r="6" spans="1:23" x14ac:dyDescent="0.25">
      <c r="A6" s="4">
        <v>1466732</v>
      </c>
      <c r="B6" s="4" t="s">
        <v>95</v>
      </c>
      <c r="C6" s="4" t="s">
        <v>97</v>
      </c>
      <c r="D6" s="4">
        <v>8</v>
      </c>
      <c r="E6" s="22">
        <v>261.51</v>
      </c>
      <c r="F6" s="6">
        <f t="shared" si="1"/>
        <v>0.3490658503988659</v>
      </c>
      <c r="G6" s="6">
        <f t="shared" si="2"/>
        <v>2.0943951023931953</v>
      </c>
      <c r="H6" s="5">
        <f t="shared" si="12"/>
        <v>0.16666666666666669</v>
      </c>
      <c r="I6" s="9">
        <v>4.8096255000000003E-3</v>
      </c>
      <c r="J6" s="4" t="s">
        <v>96</v>
      </c>
      <c r="K6" s="4" t="s">
        <v>98</v>
      </c>
      <c r="L6" s="5">
        <f>SUM(LUE!C2:C7,LUE!C12)</f>
        <v>53.648930079999992</v>
      </c>
      <c r="M6" s="22">
        <f>SUM(LUE!G2:G7,LUE!G12)</f>
        <v>148.57003663003661</v>
      </c>
      <c r="N6" s="6">
        <f t="shared" si="3"/>
        <v>28.888618233618232</v>
      </c>
      <c r="O6" s="5">
        <f t="shared" si="4"/>
        <v>114.55510827479218</v>
      </c>
      <c r="P6" s="6">
        <f t="shared" si="5"/>
        <v>27.942151083333329</v>
      </c>
      <c r="Q6" s="5">
        <f t="shared" si="6"/>
        <v>142.49725935812552</v>
      </c>
      <c r="R6" s="5">
        <f t="shared" si="7"/>
        <v>2.3929697524490998</v>
      </c>
      <c r="S6" s="78">
        <f>(F6*R6*60)/0.133681</f>
        <v>374.90923390043849</v>
      </c>
      <c r="T6" s="22">
        <f t="shared" si="9"/>
        <v>243.69100203528504</v>
      </c>
      <c r="U6" s="29" t="str">
        <f t="shared" si="10"/>
        <v>Acceptable</v>
      </c>
      <c r="V6" s="22">
        <f t="shared" si="0"/>
        <v>318.67284881537273</v>
      </c>
      <c r="W6" s="29" t="str">
        <f t="shared" si="11"/>
        <v>Acceptable</v>
      </c>
    </row>
    <row r="7" spans="1:23" x14ac:dyDescent="0.25">
      <c r="A7" s="4">
        <v>1466731</v>
      </c>
      <c r="B7" s="4" t="s">
        <v>97</v>
      </c>
      <c r="C7" s="4" t="s">
        <v>99</v>
      </c>
      <c r="D7" s="4">
        <v>8</v>
      </c>
      <c r="E7" s="22">
        <v>149.49</v>
      </c>
      <c r="F7" s="6">
        <f t="shared" si="1"/>
        <v>0.3490658503988659</v>
      </c>
      <c r="G7" s="6">
        <f t="shared" si="2"/>
        <v>2.0943951023931953</v>
      </c>
      <c r="H7" s="5">
        <f t="shared" si="12"/>
        <v>0.16666666666666669</v>
      </c>
      <c r="I7" s="9">
        <v>4.0753611999999996E-3</v>
      </c>
      <c r="J7" s="4" t="s">
        <v>96</v>
      </c>
      <c r="K7" s="4" t="s">
        <v>100</v>
      </c>
      <c r="L7" s="5">
        <f>SUM(LUE!C2:C10,LUE!C12)</f>
        <v>70.741287959999994</v>
      </c>
      <c r="M7" s="23">
        <f>SUM(LUE!G2:G10,LUE!G12)</f>
        <v>156.41253663003658</v>
      </c>
      <c r="N7" s="6">
        <f t="shared" si="3"/>
        <v>30.413548789173781</v>
      </c>
      <c r="O7" s="5">
        <f t="shared" si="4"/>
        <v>120.24459515928821</v>
      </c>
      <c r="P7" s="6">
        <f t="shared" si="5"/>
        <v>36.844420812499997</v>
      </c>
      <c r="Q7" s="5">
        <f t="shared" si="6"/>
        <v>157.0890159717882</v>
      </c>
      <c r="R7" s="5">
        <f t="shared" si="7"/>
        <v>2.2027470664679636</v>
      </c>
      <c r="S7" s="78">
        <f>(F7*R7*60)/0.133681</f>
        <v>345.10683401691205</v>
      </c>
      <c r="T7" s="22">
        <f t="shared" si="9"/>
        <v>224.31944211099284</v>
      </c>
      <c r="U7" s="29" t="str">
        <f t="shared" si="10"/>
        <v>Acceptable</v>
      </c>
      <c r="V7" s="22">
        <f t="shared" si="0"/>
        <v>293.34080891437526</v>
      </c>
      <c r="W7" s="29" t="str">
        <f t="shared" si="11"/>
        <v>Acceptable</v>
      </c>
    </row>
    <row r="8" spans="1:23" x14ac:dyDescent="0.25">
      <c r="A8" s="4">
        <v>1466730</v>
      </c>
      <c r="B8" s="4" t="s">
        <v>99</v>
      </c>
      <c r="C8" s="4" t="s">
        <v>101</v>
      </c>
      <c r="D8" s="4">
        <v>8</v>
      </c>
      <c r="E8" s="22">
        <v>226.01</v>
      </c>
      <c r="F8" s="6">
        <f t="shared" si="1"/>
        <v>0.3490658503988659</v>
      </c>
      <c r="G8" s="6">
        <f t="shared" si="2"/>
        <v>2.0943951023931953</v>
      </c>
      <c r="H8" s="5">
        <f t="shared" si="12"/>
        <v>0.16666666666666669</v>
      </c>
      <c r="I8" s="9">
        <v>1.1905808800000001E-2</v>
      </c>
      <c r="J8" s="4" t="s">
        <v>96</v>
      </c>
      <c r="K8" s="4" t="s">
        <v>102</v>
      </c>
      <c r="L8" s="5">
        <f>SUM(LUE!C2:C12)</f>
        <v>78.535353909999998</v>
      </c>
      <c r="M8" s="23">
        <f>SUM(LUE!G2:G12)</f>
        <v>159.01253663003658</v>
      </c>
      <c r="N8" s="6">
        <f t="shared" si="3"/>
        <v>30.919104344729337</v>
      </c>
      <c r="O8" s="5">
        <f t="shared" si="4"/>
        <v>122.12554274420982</v>
      </c>
      <c r="P8" s="6">
        <f t="shared" si="5"/>
        <v>40.90383016145833</v>
      </c>
      <c r="Q8" s="5">
        <f t="shared" si="6"/>
        <v>163.02937290566814</v>
      </c>
      <c r="R8" s="5">
        <f t="shared" si="7"/>
        <v>3.7649657540487445</v>
      </c>
      <c r="S8" s="78">
        <f t="shared" si="8"/>
        <v>589.86137416370264</v>
      </c>
      <c r="T8" s="22">
        <f t="shared" si="9"/>
        <v>383.40989320640671</v>
      </c>
      <c r="U8" s="29" t="str">
        <f t="shared" si="10"/>
        <v>Acceptable</v>
      </c>
      <c r="V8" s="22">
        <f t="shared" si="0"/>
        <v>501.38216803914725</v>
      </c>
      <c r="W8" s="29" t="str">
        <f t="shared" si="11"/>
        <v>Acceptable</v>
      </c>
    </row>
    <row r="9" spans="1:23" x14ac:dyDescent="0.25">
      <c r="A9" s="4">
        <v>1466729</v>
      </c>
      <c r="B9" s="4" t="s">
        <v>101</v>
      </c>
      <c r="C9" s="4" t="s">
        <v>103</v>
      </c>
      <c r="D9" s="4">
        <v>8</v>
      </c>
      <c r="E9" s="22">
        <v>321.06</v>
      </c>
      <c r="F9" s="6">
        <f t="shared" si="1"/>
        <v>0.3490658503988659</v>
      </c>
      <c r="G9" s="6">
        <f t="shared" si="2"/>
        <v>2.0943951023931953</v>
      </c>
      <c r="H9" s="5">
        <f t="shared" si="12"/>
        <v>0.16666666666666669</v>
      </c>
      <c r="I9" s="9">
        <v>1.78E-2</v>
      </c>
      <c r="J9" s="4" t="s">
        <v>96</v>
      </c>
      <c r="K9" s="4" t="s">
        <v>102</v>
      </c>
      <c r="L9" s="5">
        <f>SUM(LUE!C2:C12)</f>
        <v>78.535353909999998</v>
      </c>
      <c r="M9" s="23">
        <f>SUM(LUE!G2:G12)</f>
        <v>159.01253663003658</v>
      </c>
      <c r="N9" s="6">
        <f t="shared" si="3"/>
        <v>30.919104344729337</v>
      </c>
      <c r="O9" s="5">
        <f t="shared" si="4"/>
        <v>122.12554274420982</v>
      </c>
      <c r="P9" s="6">
        <f t="shared" si="5"/>
        <v>40.90383016145833</v>
      </c>
      <c r="Q9" s="5">
        <f t="shared" si="6"/>
        <v>163.02937290566814</v>
      </c>
      <c r="R9" s="5">
        <f t="shared" si="7"/>
        <v>4.6035363793363695</v>
      </c>
      <c r="S9" s="78">
        <f t="shared" si="8"/>
        <v>721.24116714948252</v>
      </c>
      <c r="T9" s="22">
        <f t="shared" si="9"/>
        <v>468.80675864716363</v>
      </c>
      <c r="U9" s="29" t="str">
        <f t="shared" si="10"/>
        <v>Acceptable</v>
      </c>
      <c r="V9" s="22">
        <f t="shared" si="0"/>
        <v>613.05499207706009</v>
      </c>
      <c r="W9" s="29" t="str">
        <f t="shared" si="11"/>
        <v>Acceptable</v>
      </c>
    </row>
    <row r="10" spans="1:23" x14ac:dyDescent="0.25">
      <c r="A10" s="4">
        <v>1466728</v>
      </c>
      <c r="B10" s="4" t="s">
        <v>103</v>
      </c>
      <c r="C10" s="4" t="s">
        <v>104</v>
      </c>
      <c r="D10" s="4">
        <v>8</v>
      </c>
      <c r="E10" s="22">
        <v>300</v>
      </c>
      <c r="F10" s="6">
        <f t="shared" si="1"/>
        <v>0.3490658503988659</v>
      </c>
      <c r="G10" s="6">
        <f t="shared" si="2"/>
        <v>2.0943951023931953</v>
      </c>
      <c r="H10" s="5">
        <f t="shared" si="12"/>
        <v>0.16666666666666669</v>
      </c>
      <c r="I10" s="9">
        <v>3.34726765E-2</v>
      </c>
      <c r="J10" s="4" t="s">
        <v>96</v>
      </c>
      <c r="K10" s="4" t="s">
        <v>102</v>
      </c>
      <c r="L10" s="5">
        <f>SUM(LUE!C2:C12)</f>
        <v>78.535353909999998</v>
      </c>
      <c r="M10" s="23">
        <f>SUM(LUE!G2:G12)</f>
        <v>159.01253663003658</v>
      </c>
      <c r="N10" s="6">
        <f t="shared" si="3"/>
        <v>30.919104344729337</v>
      </c>
      <c r="O10" s="5">
        <f t="shared" si="4"/>
        <v>122.12554274420982</v>
      </c>
      <c r="P10" s="6">
        <f t="shared" si="5"/>
        <v>40.90383016145833</v>
      </c>
      <c r="Q10" s="5">
        <f t="shared" si="6"/>
        <v>163.02937290566814</v>
      </c>
      <c r="R10" s="5">
        <f t="shared" si="7"/>
        <v>6.3128693083579241</v>
      </c>
      <c r="S10" s="78">
        <f t="shared" si="8"/>
        <v>989.04425920461063</v>
      </c>
      <c r="T10" s="22">
        <f t="shared" si="9"/>
        <v>642.87876848299697</v>
      </c>
      <c r="U10" s="29" t="str">
        <f t="shared" si="10"/>
        <v>Acceptable</v>
      </c>
      <c r="V10" s="22">
        <f t="shared" si="0"/>
        <v>840.68762032391896</v>
      </c>
      <c r="W10" s="29" t="str">
        <f t="shared" si="11"/>
        <v>Acceptable</v>
      </c>
    </row>
    <row r="11" spans="1:23" x14ac:dyDescent="0.25">
      <c r="A11" s="4">
        <v>1466700</v>
      </c>
      <c r="B11" s="4" t="s">
        <v>104</v>
      </c>
      <c r="C11" s="4" t="s">
        <v>105</v>
      </c>
      <c r="D11" s="4">
        <v>8</v>
      </c>
      <c r="E11" s="22">
        <v>403.65</v>
      </c>
      <c r="F11" s="6">
        <f t="shared" si="1"/>
        <v>0.3490658503988659</v>
      </c>
      <c r="G11" s="6">
        <f t="shared" si="2"/>
        <v>2.0943951023931953</v>
      </c>
      <c r="H11" s="5">
        <f t="shared" si="12"/>
        <v>0.16666666666666669</v>
      </c>
      <c r="I11" s="9">
        <v>4.0000000000000001E-3</v>
      </c>
      <c r="J11" s="4" t="s">
        <v>96</v>
      </c>
      <c r="K11" s="4" t="s">
        <v>102</v>
      </c>
      <c r="L11" s="5">
        <f>SUM(LUE!C2:C12)</f>
        <v>78.535353909999998</v>
      </c>
      <c r="M11" s="23">
        <f>SUM(LUE!G2:G12)</f>
        <v>159.01253663003658</v>
      </c>
      <c r="N11" s="6">
        <f t="shared" si="3"/>
        <v>30.919104344729337</v>
      </c>
      <c r="O11" s="5">
        <f t="shared" si="4"/>
        <v>122.12554274420982</v>
      </c>
      <c r="P11" s="6">
        <f t="shared" si="5"/>
        <v>40.90383016145833</v>
      </c>
      <c r="Q11" s="5">
        <f t="shared" si="6"/>
        <v>163.02937290566814</v>
      </c>
      <c r="R11" s="5">
        <f t="shared" si="7"/>
        <v>2.1822855350242429</v>
      </c>
      <c r="S11" s="78">
        <f t="shared" si="8"/>
        <v>341.90110311699408</v>
      </c>
      <c r="T11" s="22">
        <f t="shared" si="9"/>
        <v>222.23571702604616</v>
      </c>
      <c r="U11" s="29" t="str">
        <f t="shared" si="10"/>
        <v>Acceptable</v>
      </c>
      <c r="V11" s="22">
        <f t="shared" si="0"/>
        <v>290.61593764944496</v>
      </c>
      <c r="W11" s="29" t="str">
        <f t="shared" si="11"/>
        <v>Acceptable</v>
      </c>
    </row>
    <row r="12" spans="1:23" x14ac:dyDescent="0.25">
      <c r="A12" s="13">
        <v>1471500</v>
      </c>
      <c r="B12" s="13" t="s">
        <v>105</v>
      </c>
      <c r="C12" s="4" t="s">
        <v>106</v>
      </c>
      <c r="D12" s="84">
        <v>36</v>
      </c>
      <c r="E12" s="28">
        <v>502.32</v>
      </c>
      <c r="F12" s="6">
        <f t="shared" si="1"/>
        <v>7.0685834705770345</v>
      </c>
      <c r="G12" s="6">
        <f t="shared" si="2"/>
        <v>9.4247779607693793</v>
      </c>
      <c r="H12" s="5">
        <f t="shared" si="12"/>
        <v>0.75</v>
      </c>
      <c r="I12" s="14">
        <v>0.2</v>
      </c>
      <c r="J12" s="4" t="s">
        <v>96</v>
      </c>
      <c r="K12" s="4" t="s">
        <v>102</v>
      </c>
      <c r="L12" s="24">
        <f>SUM(LUE!C2:C12)</f>
        <v>78.535353909999998</v>
      </c>
      <c r="M12" s="25">
        <f>SUM(LUE!G2:G12)</f>
        <v>159.01253663003658</v>
      </c>
      <c r="N12" s="6">
        <f t="shared" si="3"/>
        <v>30.919104344729337</v>
      </c>
      <c r="O12" s="5">
        <f t="shared" ref="O12" si="13">((18+(0.018*N12)^0.5)/(4+(0.018*N12)^0.5))*N12</f>
        <v>122.12554274420982</v>
      </c>
      <c r="P12" s="6">
        <f t="shared" si="5"/>
        <v>40.90383016145833</v>
      </c>
      <c r="Q12" s="5">
        <f t="shared" ref="Q12" si="14">O12+P12</f>
        <v>163.02937290566814</v>
      </c>
      <c r="R12" s="5">
        <f t="shared" si="7"/>
        <v>42.271626671336463</v>
      </c>
      <c r="S12" s="78">
        <f t="shared" si="8"/>
        <v>134110.54146666121</v>
      </c>
      <c r="T12" s="32">
        <f t="shared" si="9"/>
        <v>87171.85195332978</v>
      </c>
      <c r="U12" s="29" t="str">
        <f t="shared" si="10"/>
        <v>Acceptable</v>
      </c>
      <c r="V12" s="83">
        <f>(0.8*S12)</f>
        <v>107288.43317332897</v>
      </c>
      <c r="W12" s="29" t="str">
        <f t="shared" si="11"/>
        <v>Acceptable</v>
      </c>
    </row>
    <row r="13" spans="1:23" ht="29.25" customHeight="1" x14ac:dyDescent="0.25">
      <c r="B13" s="101" t="s">
        <v>109</v>
      </c>
      <c r="C13" s="102"/>
      <c r="D13" s="102"/>
      <c r="E13" s="102"/>
      <c r="F13" s="102"/>
      <c r="G13" s="102"/>
      <c r="H13" s="102"/>
      <c r="I13" s="102"/>
      <c r="J13" s="102"/>
      <c r="K13" s="102"/>
      <c r="L13" s="102"/>
      <c r="M13" s="102"/>
      <c r="N13" s="102"/>
      <c r="O13" s="102"/>
      <c r="P13" s="102"/>
      <c r="Q13" s="102"/>
      <c r="R13" s="102"/>
      <c r="S13" s="102"/>
      <c r="T13" s="102"/>
      <c r="U13" s="102"/>
      <c r="V13" s="102"/>
      <c r="W13" s="102"/>
    </row>
    <row r="17" spans="5:27" x14ac:dyDescent="0.25">
      <c r="E17" s="75"/>
      <c r="F17" s="75"/>
      <c r="G17" s="75"/>
      <c r="H17" s="75"/>
      <c r="I17" s="76"/>
      <c r="J17" s="75"/>
    </row>
    <row r="18" spans="5:27" x14ac:dyDescent="0.25">
      <c r="E18" s="75"/>
      <c r="F18" s="75"/>
      <c r="G18" s="75"/>
      <c r="H18" s="75"/>
      <c r="I18" s="79"/>
      <c r="J18" s="75"/>
    </row>
    <row r="19" spans="5:27" x14ac:dyDescent="0.25">
      <c r="I19" s="80"/>
    </row>
    <row r="20" spans="5:27" x14ac:dyDescent="0.25">
      <c r="I20"/>
    </row>
    <row r="21" spans="5:27" x14ac:dyDescent="0.25">
      <c r="E21" s="81"/>
      <c r="I21" s="82"/>
    </row>
    <row r="22" spans="5:27" x14ac:dyDescent="0.25">
      <c r="E22" s="81"/>
      <c r="I22" s="82"/>
    </row>
    <row r="23" spans="5:27" x14ac:dyDescent="0.25">
      <c r="I23" s="80"/>
    </row>
    <row r="24" spans="5:27" x14ac:dyDescent="0.25">
      <c r="I24"/>
    </row>
    <row r="25" spans="5:27" x14ac:dyDescent="0.25">
      <c r="I25" s="80"/>
    </row>
    <row r="26" spans="5:27" x14ac:dyDescent="0.25">
      <c r="I26" s="80"/>
      <c r="V26" s="43"/>
      <c r="W26" s="70"/>
      <c r="Y26" s="71"/>
      <c r="Z26" s="72"/>
      <c r="AA26" s="73"/>
    </row>
    <row r="27" spans="5:27" x14ac:dyDescent="0.25">
      <c r="I27" s="80"/>
      <c r="N27" s="43"/>
      <c r="V27" s="43"/>
      <c r="W27" s="70"/>
      <c r="Y27" s="71"/>
      <c r="Z27" s="72"/>
      <c r="AA27" s="73"/>
    </row>
    <row r="28" spans="5:27" x14ac:dyDescent="0.25">
      <c r="I28" s="80"/>
      <c r="P28" s="44"/>
      <c r="Q28" s="45"/>
      <c r="R28" s="46"/>
      <c r="Z28" s="74"/>
      <c r="AA28" s="74"/>
    </row>
    <row r="29" spans="5:27" x14ac:dyDescent="0.25">
      <c r="I29" s="80"/>
    </row>
  </sheetData>
  <mergeCells count="1">
    <mergeCell ref="B13:W13"/>
  </mergeCells>
  <phoneticPr fontId="4" type="noConversion"/>
  <conditionalFormatting sqref="U2:U12">
    <cfRule type="containsBlanks" dxfId="1" priority="2">
      <formula>LEN(TRIM(U2))=0</formula>
    </cfRule>
  </conditionalFormatting>
  <conditionalFormatting sqref="W2:W12">
    <cfRule type="containsBlanks" dxfId="0" priority="1">
      <formula>LEN(TRIM(W2))=0</formula>
    </cfRule>
  </conditionalFormatting>
  <pageMargins left="0.7" right="0.7" top="0.75" bottom="0.75" header="0.3" footer="0.3"/>
  <pageSetup orientation="portrait" horizontalDpi="200" verticalDpi="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2641fcd-b050-47f1-a31b-438121248d80">
      <Terms xmlns="http://schemas.microsoft.com/office/infopath/2007/PartnerControls"/>
    </lcf76f155ced4ddcb4097134ff3c332f>
    <TaxCatchAll xmlns="42b4d396-253e-4f3e-a9a9-94dca28b00ba" xsi:nil="true"/>
    <_ip_UnifiedCompliancePolicyUIAction xmlns="http://schemas.microsoft.com/sharepoint/v3" xsi:nil="true"/>
    <ProjectName xmlns="d2641fcd-b050-47f1-a31b-438121248d80" xsi:nil="true"/>
    <DocumentType xmlns="d2641fcd-b050-47f1-a31b-438121248d80"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CFC12E5816A784B83CF7CE403DF57A9" ma:contentTypeVersion="32" ma:contentTypeDescription="Create a new document." ma:contentTypeScope="" ma:versionID="6122f27eca38686729fe932f8de8fd3a">
  <xsd:schema xmlns:xsd="http://www.w3.org/2001/XMLSchema" xmlns:xs="http://www.w3.org/2001/XMLSchema" xmlns:p="http://schemas.microsoft.com/office/2006/metadata/properties" xmlns:ns1="http://schemas.microsoft.com/sharepoint/v3" xmlns:ns2="d2641fcd-b050-47f1-a31b-438121248d80" xmlns:ns3="7e8c375d-5c47-42c4-8e68-7afbfc9ea7bb" xmlns:ns4="42b4d396-253e-4f3e-a9a9-94dca28b00ba" targetNamespace="http://schemas.microsoft.com/office/2006/metadata/properties" ma:root="true" ma:fieldsID="8f6362201bb50e0f17cf37f980967e09" ns1:_="" ns2:_="" ns3:_="" ns4:_="">
    <xsd:import namespace="http://schemas.microsoft.com/sharepoint/v3"/>
    <xsd:import namespace="d2641fcd-b050-47f1-a31b-438121248d80"/>
    <xsd:import namespace="7e8c375d-5c47-42c4-8e68-7afbfc9ea7bb"/>
    <xsd:import namespace="42b4d396-253e-4f3e-a9a9-94dca28b00ba"/>
    <xsd:element name="properties">
      <xsd:complexType>
        <xsd:sequence>
          <xsd:element name="documentManagement">
            <xsd:complexType>
              <xsd:all>
                <xsd:element ref="ns2:DocumentType" minOccurs="0"/>
                <xsd:element ref="ns2:ProjectName" minOccurs="0"/>
                <xsd:element ref="ns3:SharedWithUsers" minOccurs="0"/>
                <xsd:element ref="ns3:SharedWithDetails" minOccurs="0"/>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1:_ip_UnifiedCompliancePolicyProperties" minOccurs="0"/>
                <xsd:element ref="ns1:_ip_UnifiedCompliancePolicyUIAction"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ma:readOnly="false">
      <xsd:simpleType>
        <xsd:restriction base="dms:Note"/>
      </xsd:simpleType>
    </xsd:element>
    <xsd:element name="_ip_UnifiedCompliancePolicyUIAction" ma:index="18"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641fcd-b050-47f1-a31b-438121248d80" elementFormDefault="qualified">
    <xsd:import namespace="http://schemas.microsoft.com/office/2006/documentManagement/types"/>
    <xsd:import namespace="http://schemas.microsoft.com/office/infopath/2007/PartnerControls"/>
    <xsd:element name="DocumentType" ma:index="2" nillable="true" ma:displayName="Document Type" ma:format="Dropdown" ma:internalName="DocumentType">
      <xsd:complexType>
        <xsd:complexContent>
          <xsd:extension base="dms:MultiChoiceFillIn">
            <xsd:sequence>
              <xsd:element name="Value" maxOccurs="unbounded" minOccurs="0" nillable="true">
                <xsd:simpleType>
                  <xsd:union memberTypes="dms:Text">
                    <xsd:simpleType>
                      <xsd:restriction base="dms:Choice">
                        <xsd:enumeration value="Agreement"/>
                        <xsd:enumeration value="Contract"/>
                        <xsd:enumeration value="ESC"/>
                        <xsd:enumeration value="CO/QA"/>
                        <xsd:enumeration value="Bid"/>
                        <xsd:enumeration value="COI"/>
                        <xsd:enumeration value="Amendment"/>
                        <xsd:enumeration value="Project Cost Sheet"/>
                        <xsd:enumeration value="Project Manual"/>
                        <xsd:enumeration value="Invoice"/>
                        <xsd:enumeration value="Pay App"/>
                        <xsd:enumeration value="Agenda Summary"/>
                        <xsd:enumeration value="LAF"/>
                        <xsd:enumeration value="1295"/>
                        <xsd:enumeration value="Map"/>
                        <xsd:enumeration value="Presentation"/>
                        <xsd:enumeration value="Info for Prof Svcs Agmt"/>
                        <xsd:enumeration value="Project Closeout"/>
                        <xsd:enumeration value="Exhibit"/>
                        <xsd:enumeration value="ESC"/>
                        <xsd:enumeration value="Notice to Bidders"/>
                        <xsd:enumeration value="Newspaper Ad Form"/>
                        <xsd:enumeration value="Supplemental Agreement"/>
                        <xsd:enumeration value="Supplemental Contract"/>
                        <xsd:enumeration value="Budget"/>
                        <xsd:enumeration value="Template"/>
                        <xsd:enumeration value="P.O."/>
                        <xsd:enumeration value="Choice 28"/>
                      </xsd:restriction>
                    </xsd:simpleType>
                  </xsd:union>
                </xsd:simpleType>
              </xsd:element>
            </xsd:sequence>
          </xsd:extension>
        </xsd:complexContent>
      </xsd:complexType>
    </xsd:element>
    <xsd:element name="ProjectName" ma:index="3" nillable="true" ma:displayName="Project Name" ma:format="Dropdown" ma:internalName="ProjectName" ma:readOnly="false">
      <xsd:simpleType>
        <xsd:restriction base="dms:Text">
          <xsd:maxLength value="255"/>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2" nillable="true" ma:displayName="Tags" ma:hidden="true"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hidden="true" ma:internalName="MediaServiceOCR" ma:readOnly="true">
      <xsd:simpleType>
        <xsd:restriction base="dms:Note"/>
      </xsd:simpleType>
    </xsd:element>
    <xsd:element name="MediaServiceLocation" ma:index="16" nillable="true" ma:displayName="Location" ma:hidden="true" ma:internalName="MediaServiceLocation" ma:readOnly="true">
      <xsd:simpleType>
        <xsd:restriction base="dms:Text"/>
      </xsd:simpleType>
    </xsd:element>
    <xsd:element name="MediaLengthInSeconds" ma:index="19" nillable="true" ma:displayName="Length (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68affcb8-ac74-4065-8a9b-1a096d38215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BillingMetadata" ma:index="28"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e8c375d-5c47-42c4-8e68-7afbfc9ea7bb" elementFormDefault="qualified">
    <xsd:import namespace="http://schemas.microsoft.com/office/2006/documentManagement/types"/>
    <xsd:import namespace="http://schemas.microsoft.com/office/infopath/2007/PartnerControls"/>
    <xsd:element name="SharedWithUsers" ma:index="7"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8"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b4d396-253e-4f3e-a9a9-94dca28b00ba"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d4618d2c-358e-40f7-ad3e-2fd7534a464d}" ma:internalName="TaxCatchAll" ma:readOnly="false" ma:showField="CatchAllData" ma:web="7e8c375d-5c47-42c4-8e68-7afbfc9ea7b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480DAA-4C45-442C-B4AA-C6215AF26A71}">
  <ds:schemaRefs>
    <ds:schemaRef ds:uri="http://schemas.microsoft.com/sharepoint/v3"/>
    <ds:schemaRef ds:uri="http://schemas.microsoft.com/office/2006/documentManagement/types"/>
    <ds:schemaRef ds:uri="http://purl.org/dc/terms/"/>
    <ds:schemaRef ds:uri="http://purl.org/dc/elements/1.1/"/>
    <ds:schemaRef ds:uri="http://schemas.microsoft.com/office/infopath/2007/PartnerControls"/>
    <ds:schemaRef ds:uri="http://schemas.openxmlformats.org/package/2006/metadata/core-properties"/>
    <ds:schemaRef ds:uri="d2641fcd-b050-47f1-a31b-438121248d80"/>
    <ds:schemaRef ds:uri="http://www.w3.org/XML/1998/namespace"/>
    <ds:schemaRef ds:uri="42b4d396-253e-4f3e-a9a9-94dca28b00ba"/>
    <ds:schemaRef ds:uri="7e8c375d-5c47-42c4-8e68-7afbfc9ea7bb"/>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DEBC2128-0573-45EC-AAFA-2B02F2FCEA8E}">
  <ds:schemaRefs>
    <ds:schemaRef ds:uri="http://schemas.microsoft.com/sharepoint/v3/contenttype/forms"/>
  </ds:schemaRefs>
</ds:datastoreItem>
</file>

<file path=customXml/itemProps3.xml><?xml version="1.0" encoding="utf-8"?>
<ds:datastoreItem xmlns:ds="http://schemas.openxmlformats.org/officeDocument/2006/customXml" ds:itemID="{A180A6AE-FFA8-409A-8563-9D54E30C6A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2641fcd-b050-47f1-a31b-438121248d80"/>
    <ds:schemaRef ds:uri="7e8c375d-5c47-42c4-8e68-7afbfc9ea7bb"/>
    <ds:schemaRef ds:uri="42b4d396-253e-4f3e-a9a9-94dca28b00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Equations</vt:lpstr>
      <vt:lpstr>LUE</vt:lpstr>
      <vt:lpstr>Capacity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Lance Jenkins</dc:creator>
  <cp:keywords/>
  <dc:description/>
  <cp:lastModifiedBy>Jeffrey Brooks</cp:lastModifiedBy>
  <cp:revision/>
  <dcterms:created xsi:type="dcterms:W3CDTF">2015-06-05T18:17:20Z</dcterms:created>
  <dcterms:modified xsi:type="dcterms:W3CDTF">2025-06-13T16:51:58Z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0x010100DCFC12E5816A784B83CF7CE403DF57A9</vt:lpwstr>
  </property>
</Properties>
</file>